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puts" sheetId="1" r:id="rId4"/>
    <sheet state="visible" name="Opportunity Builder" sheetId="2" r:id="rId5"/>
    <sheet state="visible" name="Forecast" sheetId="3" r:id="rId6"/>
    <sheet state="visible" name="Scenarios" sheetId="4" r:id="rId7"/>
    <sheet state="visible" name="Methodology" sheetId="5" r:id="rId8"/>
    <sheet state="visible" name="Start Here" sheetId="6" r:id="rId9"/>
  </sheets>
  <definedNames/>
  <calcPr/>
  <extLst>
    <ext uri="GoogleSheetsCustomDataVersion2">
      <go:sheetsCustomData xmlns:go="http://customooxmlschemas.google.com/" r:id="rId10" roundtripDataChecksum="E24GicWHQWoQKd+7CLiNq0M5LAJRJqxwcSZQJt7SzpE="/>
    </ext>
  </extLst>
</workbook>
</file>

<file path=xl/sharedStrings.xml><?xml version="1.0" encoding="utf-8"?>
<sst xmlns="http://schemas.openxmlformats.org/spreadsheetml/2006/main" count="250" uniqueCount="206">
  <si>
    <t>OPTIONAL | KEYWORD / TOPIC OPPORTUNITY BUILDER</t>
  </si>
  <si>
    <t>SEARCH THEORY | SEO INVESTMENT FORECASTER — INPUTS</t>
  </si>
  <si>
    <t>12-MONTH SEO INVESTMENT FORECAST</t>
  </si>
  <si>
    <t>DOWNSIDE / BASE / UPSIDE</t>
  </si>
  <si>
    <t>Use this when you want a more defensible traffic estimate than one big aggregate demand number. Add mutually exclusive keyword/topic clusters, then enter monthly demand/impressions plus CURRENT and TARGET CTR. Avoid double-counting overlapping queries. Where possible, derive CTR from your own Search Console data.</t>
  </si>
  <si>
    <t>Topic / keyword cluster</t>
  </si>
  <si>
    <t>Monthly demand / impressions</t>
  </si>
  <si>
    <t>Current click share / CTR</t>
  </si>
  <si>
    <t>Target click share / CTR</t>
  </si>
  <si>
    <t>Incremental clicks / month</t>
  </si>
  <si>
    <t>Scenarios should expose uncertainty, not hide it. Base links to your Inputs. Downside and upside are editable. The same ramp and seasonality schedule is used in all three scenarios.</t>
  </si>
  <si>
    <t>Source / note</t>
  </si>
  <si>
    <t>Flow: full-run-rate incremental clicks × seasonality × SEO ramp → conversions → customers/orders → revenue → contribution. Investment is compared with contribution, not revenue.</t>
  </si>
  <si>
    <t>Assumption</t>
  </si>
  <si>
    <t>Downside</t>
  </si>
  <si>
    <t>Base</t>
  </si>
  <si>
    <t>Upside</t>
  </si>
  <si>
    <t>Unit</t>
  </si>
  <si>
    <t>What changes</t>
  </si>
  <si>
    <t>Traffic opportunity realised vs base</t>
  </si>
  <si>
    <t>Month</t>
  </si>
  <si>
    <t>%</t>
  </si>
  <si>
    <t>Stress-test the traffic opportunity without pretending one CTR forecast is certain.</t>
  </si>
  <si>
    <t>Website conversion rate</t>
  </si>
  <si>
    <t>Only edit the green cells. Keep every assumption defendable and use first-party data wherever possible.</t>
  </si>
  <si>
    <t>1. FORECAST METHOD &amp; SEO INVESTMENT</t>
  </si>
  <si>
    <t>How efficiently additional organic clicks convert.</t>
  </si>
  <si>
    <t>Lead-to-sale / close rate</t>
  </si>
  <si>
    <t>Forecast method</t>
  </si>
  <si>
    <t>Simple aggregate</t>
  </si>
  <si>
    <t>Simple aggregate = one demand pool. Opportunity Builder = keyword/topic clusters.</t>
  </si>
  <si>
    <t>Choose based on data available</t>
  </si>
  <si>
    <t>Use CRM close rates for lead-gen; 100% for ecommerce transactions.</t>
  </si>
  <si>
    <t>Upfront SEO cost (£)</t>
  </si>
  <si>
    <t>Revenue per sale / order</t>
  </si>
  <si>
    <t>One-off strategy, technical, migration, content or implementation cost.</t>
  </si>
  <si>
    <t>Budget / SOW</t>
  </si>
  <si>
    <t>£</t>
  </si>
  <si>
    <t>Monthly SEO cost (£)</t>
  </si>
  <si>
    <t>Recurring agency, in-house, content, tooling and dev cost.</t>
  </si>
  <si>
    <t>£ / month</t>
  </si>
  <si>
    <t>Year 1 SEO investment (£)</t>
  </si>
  <si>
    <t>Seasonality</t>
  </si>
  <si>
    <t>Commercial value of each customer/order.</t>
  </si>
  <si>
    <t>SEO ramp</t>
  </si>
  <si>
    <t>Contribution margin</t>
  </si>
  <si>
    <t>Full-run inc. clicks</t>
  </si>
  <si>
    <t>Realised inc. clicks</t>
  </si>
  <si>
    <t>Website conversions</t>
  </si>
  <si>
    <t>Customers / orders</t>
  </si>
  <si>
    <t>Profitability of incremental revenue.</t>
  </si>
  <si>
    <t>Incremental revenue</t>
  </si>
  <si>
    <t>Contribution profit</t>
  </si>
  <si>
    <t>SEO spend</t>
  </si>
  <si>
    <t>Cum. contribution</t>
  </si>
  <si>
    <t>SCENARIO OUTPUTS</t>
  </si>
  <si>
    <t>Cum. spend</t>
  </si>
  <si>
    <t>Cum. net cash</t>
  </si>
  <si>
    <t>Full-investment recovery</t>
  </si>
  <si>
    <t>Cash-flow breakeven</t>
  </si>
  <si>
    <t>Metric</t>
  </si>
  <si>
    <t>Total committed cost in the 12-month forecast.</t>
  </si>
  <si>
    <t>Calculated</t>
  </si>
  <si>
    <t>Year 1 incremental organic clicks</t>
  </si>
  <si>
    <t>TOTAL FULL-RUN-RATE OPPORTUNITY</t>
  </si>
  <si>
    <t>2. SEARCH DEMAND &amp; ORGANIC CLICK OPPORTUNITY</t>
  </si>
  <si>
    <t>Monthly addressable search demand</t>
  </si>
  <si>
    <t>Relevant monthly demand for the search opportunity. Prefer GSC impressions for existing visibility; use deduplicated search-volume data for net-new topics.</t>
  </si>
  <si>
    <t>GSC / Keyword Planner / SEO tool</t>
  </si>
  <si>
    <t>searches or impressions</t>
  </si>
  <si>
    <t>Current organic click share</t>
  </si>
  <si>
    <t>Current share of the addressable demand that becomes an organic click. If demand is GSC impressions, this is CTR; if demand is search volume, treat it as modelled click share.</t>
  </si>
  <si>
    <t>Prefer site-specific GSC CTR</t>
  </si>
  <si>
    <t>Year 1 website conversions</t>
  </si>
  <si>
    <t>Year 1 customers / orders</t>
  </si>
  <si>
    <t>Target organic click share</t>
  </si>
  <si>
    <t>Year 1 incremental revenue</t>
  </si>
  <si>
    <t>Expected click share after the SEO work matures. Use your own GSC CTR/ranking evidence where possible, and account for SERP features.</t>
  </si>
  <si>
    <t>GSC CTR curve / ranking model</t>
  </si>
  <si>
    <t>Incremental click-share uplift</t>
  </si>
  <si>
    <t>Year 1 contribution profit</t>
  </si>
  <si>
    <t>Target minus current. This is the actual traffic uplift assumption.</t>
  </si>
  <si>
    <t>percentage points</t>
  </si>
  <si>
    <t>Full-run-rate incremental clicks / month</t>
  </si>
  <si>
    <t>Net ROI on SEO investment</t>
  </si>
  <si>
    <t>Selected traffic opportunity before seasonality and the SEO ramp.</t>
  </si>
  <si>
    <t>Calculated / Opportunity Builder</t>
  </si>
  <si>
    <t>clicks / month</t>
  </si>
  <si>
    <t>3. CONVERSION &amp; COMMERCIAL VALUE</t>
  </si>
  <si>
    <t>Share of incremental organic clicks that become a lead or ecommerce transaction.</t>
  </si>
  <si>
    <t>GA4 / analytics</t>
  </si>
  <si>
    <t>For ecommerce, leave at 100%. For lead gen, enter the % of organic leads that become customers.</t>
  </si>
  <si>
    <t>CRM / sales data</t>
  </si>
  <si>
    <t>Revenue per sale / order (£)</t>
  </si>
  <si>
    <t>Revenue value per closed customer/order. Use a consistent horizon (e.g. first order or first 12 months).</t>
  </si>
  <si>
    <t>CRM / finance</t>
  </si>
  <si>
    <t>Share of incremental revenue left after variable/direct costs. Better for investment decisions than revenue alone.</t>
  </si>
  <si>
    <t>Finance / management accounts</t>
  </si>
  <si>
    <t>4. 12-MONTH REALISATION | RAMP + SEASONALITY</t>
  </si>
  <si>
    <t>Revenue / £1 SEO investment</t>
  </si>
  <si>
    <t>Seasonality index</t>
  </si>
  <si>
    <t>Plain-English meaning</t>
  </si>
  <si>
    <t>Ramp = % of full SEO opportunity realised; Seasonality = 100% for a normal month.</t>
  </si>
  <si>
    <t>Contribution / £1 SEO investment</t>
  </si>
  <si>
    <t>5. FULL-RUN-RATE OUTPUT | BEFORE RAMP &amp; SEASONALITY</t>
  </si>
  <si>
    <t>Incremental organic clicks / month</t>
  </si>
  <si>
    <t>Website conversions / month</t>
  </si>
  <si>
    <t>conversions / month</t>
  </si>
  <si>
    <t>Pitch tip: if someone disputes the forecast, ask which assumption they disagree with. Change that assumption live. The goal is not certainty; it is a transparent investment case with visible downside.</t>
  </si>
  <si>
    <t>Customers / orders / month</t>
  </si>
  <si>
    <t>customers / month</t>
  </si>
  <si>
    <t>Incremental revenue / month</t>
  </si>
  <si>
    <t>Incremental contribution / month</t>
  </si>
  <si>
    <t>Annualised revenue / £1 SEO investment</t>
  </si>
  <si>
    <t>Full run-rate annualised revenue, not Year 1 realised revenue.</t>
  </si>
  <si>
    <t>x</t>
  </si>
  <si>
    <t>METHOD, GUARDRAILS &amp; SOURCES</t>
  </si>
  <si>
    <t>This workbook is an investment model, not a ranking promise. It is deliberately transparent: every commercial output can be traced back to traffic, conversion, value, timing and cost assumptions.</t>
  </si>
  <si>
    <t>BEST-PRACTICE GUARDRAILS</t>
  </si>
  <si>
    <t>1</t>
  </si>
  <si>
    <t>Prefer first-party data</t>
  </si>
  <si>
    <t>Use Google Search Console / analytics / CRM where available. Third-party search-volume and traffic figures are estimates.</t>
  </si>
  <si>
    <t>Why</t>
  </si>
  <si>
    <t>Ahrefs explicitly recommends first-party data for site/page accuracy.</t>
  </si>
  <si>
    <t>https://ahrefs.com/blog/seo-forecasting/</t>
  </si>
  <si>
    <t>2</t>
  </si>
  <si>
    <t>Model incremental, not total</t>
  </si>
  <si>
    <t>Forecast the uplift versus the current/no-change baseline. The simple model makes that visible as target organic click share minus current organic click share.</t>
  </si>
  <si>
    <t>A forecast should isolate the change attributable to the proposed SEO investment.</t>
  </si>
  <si>
    <t>https://searchengineland.com/seo-projection-448580</t>
  </si>
  <si>
    <t>3</t>
  </si>
  <si>
    <t>Use your own CTR curve</t>
  </si>
  <si>
    <t>Generic CTR curves vary by SERP layout, intent, device, brand and features. Use GSC CTR by comparable query/page cohorts where possible.</t>
  </si>
  <si>
    <t>Google defines CTR as clicks ÷ impressions; Ahrefs warns generic curves may not represent your site.</t>
  </si>
  <si>
    <t>https://support.google.com/webmasters/answer/7042828?hl=en</t>
  </si>
  <si>
    <t>4</t>
  </si>
  <si>
    <t>Treat search volume carefully</t>
  </si>
  <si>
    <t>Keyword Planner volumes are averaged/rounded and search demand fluctuates. Deduplicate overlapping topics and use the seasonality row.</t>
  </si>
  <si>
    <t>Google notes search volumes are rounded and affected by seasonality/current events.</t>
  </si>
  <si>
    <t>https://support.google.com/google-ads/answer/3022575</t>
  </si>
  <si>
    <t>5</t>
  </si>
  <si>
    <t>Separate lead from sale</t>
  </si>
  <si>
    <t>For lead generation, do not value every form fill as revenue. Apply a lead-to-sale rate, then customer/order value.</t>
  </si>
  <si>
    <t>This prevents overstating commercial impact.</t>
  </si>
  <si>
    <t>https://www.semrush.com/blog/seo-forecasting/</t>
  </si>
  <si>
    <t>6</t>
  </si>
  <si>
    <t>Make timing explicit</t>
  </si>
  <si>
    <t>SEO impact is not instant. Use a month-by-month ramp and update it using observed performance.</t>
  </si>
  <si>
    <t>Google says changes may take hours to several months; generally assess over weeks.</t>
  </si>
  <si>
    <t>https://developers.google.com/search/docs/fundamentals/seo-starter-guide</t>
  </si>
  <si>
    <t>7</t>
  </si>
  <si>
    <t>Use scenarios</t>
  </si>
  <si>
    <t>Show downside / base / upside instead of a single precise outcome.</t>
  </si>
  <si>
    <t>Forecasts are estimates with uncertainty; scenario ranges are better for decision-making.</t>
  </si>
  <si>
    <t>8</t>
  </si>
  <si>
    <t>Use profit for ROI</t>
  </si>
  <si>
    <t>Revenue is useful, but contribution profit is the more defensible numerator for investment ROI.</t>
  </si>
  <si>
    <t>The model separates revenue from profit so unit economics are explicit.</t>
  </si>
  <si>
    <t>https://www.semrush.com/blog/seo-roi/</t>
  </si>
  <si>
    <t>HOW TO USE EACH TRAFFIC METHOD</t>
  </si>
  <si>
    <t>Best for a quick workshop or one clearly defined search market.</t>
  </si>
  <si>
    <t>Monthly demand × (target CTR/share − current CTR/share).</t>
  </si>
  <si>
    <t>Fast and easy.</t>
  </si>
  <si>
    <t>Can hide keyword mix, SERP differences and overlap.</t>
  </si>
  <si>
    <t>Use for the talk / first-pass budget case.</t>
  </si>
  <si>
    <t>Opportunity Builder</t>
  </si>
  <si>
    <t>Best when you have keyword/topic clusters or page groups.</t>
  </si>
  <si>
    <t>Sum of cluster demand × (target CTR − current CTR).</t>
  </si>
  <si>
    <t>More transparent and auditable.</t>
  </si>
  <si>
    <t>Still depends on CTR and demand assumptions.</t>
  </si>
  <si>
    <t>Recommended for a real client / board case.</t>
  </si>
  <si>
    <t>IMPORTANT LIMITATIONS</t>
  </si>
  <si>
    <t>Do not add overlapping keyword volumes without deduplicating intent. Do not assume average ranking position maps cleanly to CTR; Google notes average position is a complex metric. Do not mix branded and non-brand demand unless you intend to model them together. SERP features can materially change CTR. Back-test the model: after 30/60/90 days, replace assumptions with actual Search Console, analytics and CRM data.</t>
  </si>
  <si>
    <t>SEARCH THEORY | SEO INVESTMENT FORECASTER</t>
  </si>
  <si>
    <t>Turn SEO assumptions into a finance-ready investment case - without pretending SEO is certain.</t>
  </si>
  <si>
    <t>YEAR 1 SEO INVESTMENT</t>
  </si>
  <si>
    <t>YEAR 1 REVENUE</t>
  </si>
  <si>
    <t>YEAR 1 CONTRIBUTION</t>
  </si>
  <si>
    <t>NET ROI</t>
  </si>
  <si>
    <t>FULL YEAR-1 INVESTMENT RECOVERED</t>
  </si>
  <si>
    <t>CASH-FLOW BREAKEVEN</t>
  </si>
  <si>
    <t>HOW THE MODEL WORKS</t>
  </si>
  <si>
    <t>1. DEMAND</t>
  </si>
  <si>
    <t>Define the addressable search opportunity using GSC impressions or deduplicated search-volume data.</t>
  </si>
  <si>
    <t>2. CLICK UPLIFT</t>
  </si>
  <si>
    <t>Estimate the extra organic clicks from current → target CTR/share. Prefer your own GSC CTR curve.</t>
  </si>
  <si>
    <t>3. CONVERSION</t>
  </si>
  <si>
    <t>Apply website CVR and, for lead-gen, the lead-to-sale rate.</t>
  </si>
  <si>
    <t>4. VALUE</t>
  </si>
  <si>
    <t>Multiply customers/orders by revenue per sale, then contribution margin.</t>
  </si>
  <si>
    <t>5. TIME + COST</t>
  </si>
  <si>
    <t>Phase the return with an SEO ramp + seasonality, then compare contribution with SEO spend.</t>
  </si>
  <si>
    <t>QUICK CHECK BEFORE YOU PRESENT THE NUMBER</t>
  </si>
  <si>
    <t>Use first-party data where possible</t>
  </si>
  <si>
    <t>GSC / GA4 / CRM &gt; generic benchmarks.</t>
  </si>
  <si>
    <t>Keep traffic incremental</t>
  </si>
  <si>
    <t>Forecast the uplift vs current / no-change performance.</t>
  </si>
  <si>
    <t>Do not count leads as sales</t>
  </si>
  <si>
    <t>Use a close rate for lead-gen.</t>
  </si>
  <si>
    <t>Use contribution for ROI</t>
  </si>
  <si>
    <t>Revenue can flatter a weak investment case.</t>
  </si>
  <si>
    <t>Show a range</t>
  </si>
  <si>
    <t>Use the Scenarios tab - one precise number implies false certainty.</t>
  </si>
  <si>
    <t>Start on the Inputs tab. If you have detailed keyword/topic data, switch the forecast method to Opportunity Builder. The Base scenario will always reconcile to the Forecast tab.</t>
  </si>
  <si>
    <t>YEAR 1 TOTALS</t>
  </si>
  <si>
    <t>Payback note: 'Full-investment recovery' = cumulative contribution profit has recovered the entire Year 1 SEO budget. 'Cash-flow breakeven' = cumulative contribution has caught up with SEO spend incurred to date. The former is the stronger board-level claim.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</si>
</sst>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0.0%"/>
    <numFmt numFmtId="165" formatCode="£#,##0"/>
    <numFmt numFmtId="166" formatCode="£#,##0;[Red](£#,##0);-"/>
    <numFmt numFmtId="167" formatCode="#,##0;[Red](#,##0);-"/>
    <numFmt numFmtId="168" formatCode="£#,##0.00"/>
    <numFmt numFmtId="169" formatCode="0.0x"/>
  </numFmts>
  <fonts count="10">
    <font>
      <sz val="11.0"/>
      <color rgb="FF000000"/>
      <name val="Carlito"/>
      <scheme val="minor"/>
    </font>
    <font>
      <b/>
      <sz val="17.0"/>
      <color rgb="FFFFFFFF"/>
      <name val="Inter"/>
    </font>
    <font>
      <sz val="11.0"/>
      <color theme="1"/>
      <name val="Carlito"/>
    </font>
    <font>
      <sz val="10.0"/>
      <color rgb="FF000000"/>
      <name val="Inter"/>
    </font>
    <font>
      <sz val="9.0"/>
      <color rgb="FF000000"/>
      <name val="Inter"/>
    </font>
    <font>
      <b/>
      <sz val="10.0"/>
      <color rgb="FFFFFFFF"/>
      <name val="Inter"/>
    </font>
    <font>
      <b/>
      <sz val="10.0"/>
      <color rgb="FF000000"/>
      <name val="Inter"/>
    </font>
    <font>
      <b/>
      <sz val="11.0"/>
      <color rgb="FFFFFFFF"/>
      <name val="Inter"/>
    </font>
    <font>
      <b/>
      <sz val="9.0"/>
      <color rgb="FFFFFFFF"/>
      <name val="Inter"/>
    </font>
    <font>
      <sz val="9.0"/>
      <color rgb="FF7F7979"/>
      <name val="Inter"/>
    </font>
  </fonts>
  <fills count="10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0EDFA"/>
        <bgColor rgb="FFF0EDFA"/>
      </patternFill>
    </fill>
    <fill>
      <patternFill patternType="solid">
        <fgColor rgb="FFEAFBEA"/>
        <bgColor rgb="FFEAFBEA"/>
      </patternFill>
    </fill>
    <fill>
      <patternFill patternType="solid">
        <fgColor rgb="FFF3F1EE"/>
        <bgColor rgb="FFF3F1EE"/>
      </patternFill>
    </fill>
    <fill>
      <patternFill patternType="solid">
        <fgColor rgb="FF9085CB"/>
        <bgColor rgb="FF9085CB"/>
      </patternFill>
    </fill>
    <fill>
      <patternFill patternType="solid">
        <fgColor rgb="FF00DD00"/>
        <bgColor rgb="FF00DD00"/>
      </patternFill>
    </fill>
    <fill>
      <patternFill patternType="solid">
        <fgColor rgb="FFFFF7CC"/>
        <bgColor rgb="FFFFF7CC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shrinkToFit="0" vertical="center" wrapText="1"/>
    </xf>
    <xf borderId="0" fillId="2" fontId="1" numFmtId="0" xfId="0" applyAlignment="1" applyFill="1" applyFont="1">
      <alignment horizontal="left" vertical="center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vertical="center"/>
    </xf>
    <xf borderId="0" fillId="3" fontId="3" numFmtId="0" xfId="0" applyAlignment="1" applyFill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3" numFmtId="0" xfId="0" applyAlignment="1" applyFont="1">
      <alignment shrinkToFit="0" wrapText="1"/>
    </xf>
    <xf borderId="0" fillId="2" fontId="5" numFmtId="0" xfId="0" applyAlignment="1" applyFill="1" applyFont="1">
      <alignment shrinkToFit="0" vertical="center" wrapText="1"/>
    </xf>
    <xf borderId="0" fillId="3" fontId="3" numFmtId="0" xfId="0" applyAlignment="1" applyFill="1" applyFont="1">
      <alignment shrinkToFit="0" wrapText="1"/>
    </xf>
    <xf borderId="0" fillId="4" fontId="3" numFmtId="0" xfId="0" applyAlignment="1" applyFill="1" applyFont="1">
      <alignment shrinkToFit="0" vertical="center" wrapText="1"/>
    </xf>
    <xf borderId="0" fillId="4" fontId="3" numFmtId="3" xfId="0" applyAlignment="1" applyFill="1" applyFont="1" applyNumberFormat="1">
      <alignment shrinkToFit="0" vertical="center" wrapText="1"/>
    </xf>
    <xf borderId="0" fillId="3" fontId="4" numFmtId="0" xfId="0" applyAlignment="1" applyFill="1" applyFont="1">
      <alignment shrinkToFit="0" vertical="center" wrapText="1"/>
    </xf>
    <xf borderId="0" fillId="4" fontId="3" numFmtId="164" xfId="0" applyAlignment="1" applyFill="1" applyFont="1" applyNumberFormat="1">
      <alignment shrinkToFit="0" vertical="center" wrapText="1"/>
    </xf>
    <xf borderId="0" fillId="2" fontId="5" numFmtId="0" xfId="0" applyAlignment="1" applyFill="1" applyFont="1">
      <alignment shrinkToFit="0" wrapText="1"/>
    </xf>
    <xf borderId="0" fillId="0" fontId="3" numFmtId="0" xfId="0" applyAlignment="1" applyFont="1">
      <alignment shrinkToFit="0" vertical="center" wrapText="1"/>
    </xf>
    <xf borderId="0" fillId="4" fontId="3" numFmtId="164" xfId="0" applyAlignment="1" applyFill="1" applyFont="1" applyNumberFormat="1">
      <alignment shrinkToFit="0" wrapText="1"/>
    </xf>
    <xf borderId="0" fillId="5" fontId="3" numFmtId="164" xfId="0" applyAlignment="1" applyFill="1" applyFont="1" applyNumberFormat="1">
      <alignment shrinkToFit="0" wrapText="1"/>
    </xf>
    <xf borderId="0" fillId="5" fontId="6" numFmtId="3" xfId="0" applyAlignment="1" applyFill="1" applyFont="1" applyNumberFormat="1">
      <alignment shrinkToFit="0" vertical="center" wrapText="1"/>
    </xf>
    <xf borderId="0" fillId="2" fontId="7" numFmtId="0" xfId="0" applyAlignment="1" applyFill="1" applyFont="1">
      <alignment horizontal="left" vertical="center"/>
    </xf>
    <xf borderId="0" fillId="4" fontId="6" numFmtId="0" xfId="0" applyAlignment="1" applyFill="1" applyFont="1">
      <alignment readingOrder="0" vertical="center"/>
    </xf>
    <xf borderId="0" fillId="4" fontId="3" numFmtId="165" xfId="0" applyAlignment="1" applyFill="1" applyFont="1" applyNumberFormat="1">
      <alignment shrinkToFit="0" wrapText="1"/>
    </xf>
    <xf borderId="0" fillId="4" fontId="6" numFmtId="166" xfId="0" applyAlignment="1" applyFill="1" applyFont="1" applyNumberFormat="1">
      <alignment vertical="center"/>
    </xf>
    <xf borderId="0" fillId="2" fontId="8" numFmtId="0" xfId="0" applyAlignment="1" applyFill="1" applyFont="1">
      <alignment shrinkToFit="0" vertical="center" wrapText="1"/>
    </xf>
    <xf borderId="0" fillId="5" fontId="3" numFmtId="165" xfId="0" applyAlignment="1" applyFill="1" applyFont="1" applyNumberFormat="1">
      <alignment shrinkToFit="0" wrapText="1"/>
    </xf>
    <xf borderId="0" fillId="2" fontId="7" numFmtId="0" xfId="0" applyAlignment="1" applyFill="1" applyFont="1">
      <alignment horizontal="left" shrinkToFit="0" vertical="center" wrapText="1"/>
    </xf>
    <xf borderId="0" fillId="5" fontId="6" numFmtId="166" xfId="0" applyAlignment="1" applyFill="1" applyFont="1" applyNumberFormat="1">
      <alignment vertical="center"/>
    </xf>
    <xf borderId="0" fillId="6" fontId="5" numFmtId="0" xfId="0" applyAlignment="1" applyFill="1" applyFont="1">
      <alignment shrinkToFit="0" wrapText="1"/>
    </xf>
    <xf borderId="0" fillId="0" fontId="2" numFmtId="3" xfId="0" applyAlignment="1" applyFont="1" applyNumberFormat="1">
      <alignment shrinkToFit="0" vertical="center" wrapText="1"/>
    </xf>
    <xf borderId="0" fillId="7" fontId="6" numFmtId="0" xfId="0" applyAlignment="1" applyFill="1" applyFont="1">
      <alignment shrinkToFit="0" vertical="center" wrapText="1"/>
    </xf>
    <xf borderId="0" fillId="4" fontId="6" numFmtId="167" xfId="0" applyAlignment="1" applyFill="1" applyFont="1" applyNumberFormat="1">
      <alignment vertical="center"/>
    </xf>
    <xf borderId="0" fillId="0" fontId="3" numFmtId="3" xfId="0" applyAlignment="1" applyFont="1" applyNumberFormat="1">
      <alignment shrinkToFit="0" wrapText="1"/>
    </xf>
    <xf borderId="0" fillId="0" fontId="4" numFmtId="9" xfId="0" applyAlignment="1" applyFont="1" applyNumberFormat="1">
      <alignment shrinkToFit="0" vertical="center" wrapText="1"/>
    </xf>
    <xf borderId="0" fillId="4" fontId="6" numFmtId="164" xfId="0" applyAlignment="1" applyFill="1" applyFont="1" applyNumberFormat="1">
      <alignment vertical="center"/>
    </xf>
    <xf borderId="0" fillId="7" fontId="6" numFmtId="3" xfId="0" applyAlignment="1" applyFill="1" applyFont="1" applyNumberFormat="1">
      <alignment shrinkToFit="0" vertical="center" wrapText="1"/>
    </xf>
    <xf borderId="0" fillId="0" fontId="9" numFmtId="0" xfId="0" applyAlignment="1" applyFont="1">
      <alignment shrinkToFit="0" vertical="center" wrapText="1"/>
    </xf>
    <xf borderId="0" fillId="0" fontId="9" numFmtId="3" xfId="0" applyAlignment="1" applyFont="1" applyNumberFormat="1">
      <alignment shrinkToFit="0" vertical="center" wrapText="1"/>
    </xf>
    <xf borderId="0" fillId="0" fontId="4" numFmtId="3" xfId="0" applyAlignment="1" applyFont="1" applyNumberFormat="1">
      <alignment shrinkToFit="0" vertical="center" wrapText="1"/>
    </xf>
    <xf borderId="0" fillId="0" fontId="3" numFmtId="166" xfId="0" applyAlignment="1" applyFont="1" applyNumberFormat="1">
      <alignment shrinkToFit="0" wrapText="1"/>
    </xf>
    <xf borderId="0" fillId="5" fontId="6" numFmtId="164" xfId="0" applyAlignment="1" applyFill="1" applyFont="1" applyNumberFormat="1">
      <alignment vertical="center"/>
    </xf>
    <xf borderId="0" fillId="0" fontId="4" numFmtId="166" xfId="0" applyAlignment="1" applyFont="1" applyNumberFormat="1">
      <alignment shrinkToFit="0" vertical="center" wrapText="1"/>
    </xf>
    <xf borderId="0" fillId="5" fontId="6" numFmtId="3" xfId="0" applyAlignment="1" applyFill="1" applyFont="1" applyNumberFormat="1">
      <alignment vertical="center"/>
    </xf>
    <xf borderId="0" fillId="0" fontId="3" numFmtId="164" xfId="0" applyAlignment="1" applyFont="1" applyNumberFormat="1">
      <alignment shrinkToFit="0" wrapText="1"/>
    </xf>
    <xf borderId="0" fillId="4" fontId="6" numFmtId="168" xfId="0" applyAlignment="1" applyFill="1" applyFont="1" applyNumberFormat="1">
      <alignment vertical="center"/>
    </xf>
    <xf borderId="0" fillId="6" fontId="5" numFmtId="0" xfId="0" applyAlignment="1" applyFill="1" applyFont="1">
      <alignment vertical="center"/>
    </xf>
    <xf borderId="0" fillId="6" fontId="5" numFmtId="0" xfId="0" applyAlignment="1" applyFill="1" applyFont="1">
      <alignment shrinkToFit="0" vertical="center" wrapText="1"/>
    </xf>
    <xf borderId="0" fillId="4" fontId="6" numFmtId="9" xfId="0" applyAlignment="1" applyFill="1" applyFont="1" applyNumberFormat="1">
      <alignment vertical="center"/>
    </xf>
    <xf borderId="0" fillId="4" fontId="6" numFmtId="9" xfId="0" applyAlignment="1" applyFill="1" applyFont="1" applyNumberFormat="1">
      <alignment shrinkToFit="0" vertical="center" wrapText="1"/>
    </xf>
    <xf borderId="0" fillId="0" fontId="3" numFmtId="169" xfId="0" applyAlignment="1" applyFont="1" applyNumberFormat="1">
      <alignment shrinkToFit="0" wrapText="1"/>
    </xf>
    <xf borderId="0" fillId="8" fontId="3" numFmtId="0" xfId="0" applyAlignment="1" applyFill="1" applyFont="1">
      <alignment shrinkToFit="0" wrapText="1"/>
    </xf>
    <xf borderId="0" fillId="5" fontId="6" numFmtId="165" xfId="0" applyAlignment="1" applyFill="1" applyFont="1" applyNumberFormat="1">
      <alignment vertical="center"/>
    </xf>
    <xf borderId="0" fillId="5" fontId="6" numFmtId="169" xfId="0" applyAlignment="1" applyFill="1" applyFont="1" applyNumberFormat="1">
      <alignment vertical="center"/>
    </xf>
    <xf borderId="0" fillId="2" fontId="1" numFmtId="0" xfId="0" applyAlignment="1" applyFill="1" applyFont="1">
      <alignment horizontal="left" vertical="top"/>
    </xf>
    <xf borderId="0" fillId="0" fontId="2" numFmtId="0" xfId="0" applyAlignment="1" applyFont="1">
      <alignment vertical="top"/>
    </xf>
    <xf borderId="0" fillId="3" fontId="3" numFmtId="0" xfId="0" applyAlignment="1" applyFill="1" applyFont="1">
      <alignment shrinkToFit="0" vertical="top" wrapText="1"/>
    </xf>
    <xf borderId="0" fillId="2" fontId="7" numFmtId="0" xfId="0" applyAlignment="1" applyFill="1" applyFont="1">
      <alignment horizontal="left" vertical="top"/>
    </xf>
    <xf borderId="0" fillId="7" fontId="6" numFmtId="0" xfId="0" applyAlignment="1" applyFill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0" fillId="8" fontId="3" numFmtId="0" xfId="0" applyAlignment="1" applyFill="1" applyFont="1">
      <alignment shrinkToFit="0" vertical="top" wrapText="1"/>
    </xf>
    <xf borderId="0" fillId="3" fontId="6" numFmtId="0" xfId="0" applyAlignment="1" applyFill="1" applyFont="1">
      <alignment readingOrder="0" vertical="center"/>
    </xf>
    <xf borderId="0" fillId="2" fontId="8" numFmtId="0" xfId="0" applyAlignment="1" applyFill="1" applyFont="1">
      <alignment horizontal="center" vertical="center"/>
    </xf>
    <xf borderId="0" fillId="9" fontId="6" numFmtId="165" xfId="0" applyAlignment="1" applyFill="1" applyFont="1" applyNumberFormat="1">
      <alignment horizontal="center" vertical="center"/>
    </xf>
    <xf borderId="0" fillId="9" fontId="6" numFmtId="164" xfId="0" applyAlignment="1" applyFill="1" applyFont="1" applyNumberFormat="1">
      <alignment horizontal="center" vertical="center"/>
    </xf>
    <xf borderId="0" fillId="7" fontId="6" numFmtId="0" xfId="0" applyAlignment="1" applyFill="1" applyFont="1">
      <alignment vertical="center"/>
    </xf>
    <xf borderId="0" fillId="6" fontId="6" numFmtId="0" xfId="0" applyAlignment="1" applyFill="1" applyFont="1">
      <alignment vertical="center"/>
    </xf>
    <xf borderId="0" fillId="0" fontId="6" numFmtId="0" xfId="0" applyAlignment="1" applyFont="1">
      <alignment horizontal="center" vertical="center"/>
    </xf>
    <xf borderId="0" fillId="5" fontId="6" numFmtId="0" xfId="0" applyAlignment="1" applyFill="1" applyFont="1">
      <alignment vertical="center"/>
    </xf>
    <xf borderId="0" fillId="0" fontId="6" numFmtId="0" xfId="0" applyAlignment="1" applyFont="1">
      <alignment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8" fontId="6" numFmtId="0" xfId="0" applyAlignment="1" applyFill="1" applyFont="1">
      <alignment shrinkToFit="0" vertical="center" wrapText="1"/>
    </xf>
    <xf borderId="0" fillId="7" fontId="6" numFmtId="166" xfId="0" applyAlignment="1" applyFill="1" applyFont="1" applyNumberFormat="1">
      <alignment shrinkToFit="0" vertical="center" wrapText="1"/>
    </xf>
    <xf borderId="0" fillId="7" fontId="6" numFmtId="1" xfId="0" applyAlignment="1" applyFill="1" applyFont="1" applyNumberFormat="1">
      <alignment shrinkToFit="0" vertical="center" wrapText="1"/>
    </xf>
    <xf borderId="0" fillId="7" fontId="6" numFmtId="164" xfId="0" applyAlignment="1" applyFill="1" applyFont="1" applyNumberFormat="1">
      <alignment shrinkToFit="0" vertical="center" wrapText="1"/>
    </xf>
    <xf borderId="0" fillId="7" fontId="6" numFmtId="169" xfId="0" applyAlignment="1" applyFill="1" applyFont="1" applyNumberFormat="1">
      <alignment shrinkToFit="0" vertical="center" wrapText="1"/>
    </xf>
    <xf borderId="0" fillId="8" fontId="4" numFmtId="0" xfId="0" applyAlignment="1" applyFill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0"/>
    <col customWidth="1" min="2" max="2" width="21.0"/>
    <col customWidth="1" min="3" max="3" width="58.0"/>
    <col customWidth="1" min="4" max="4" width="30.0"/>
    <col customWidth="1" min="5" max="5" width="18.0"/>
    <col customWidth="1" min="6" max="6" width="4.0"/>
    <col customWidth="1" min="7" max="26" width="8.63"/>
  </cols>
  <sheetData>
    <row r="1" ht="31.5" customHeight="1">
      <c r="A1" s="2" t="s">
        <v>1</v>
      </c>
    </row>
    <row r="2">
      <c r="A2" s="4"/>
      <c r="B2" s="4"/>
      <c r="C2" s="15"/>
      <c r="D2" s="15"/>
      <c r="E2" s="4"/>
      <c r="F2" s="4"/>
    </row>
    <row r="3" ht="27.75" customHeight="1">
      <c r="A3" s="5" t="s">
        <v>24</v>
      </c>
    </row>
    <row r="4">
      <c r="A4" s="4"/>
      <c r="B4" s="4"/>
      <c r="C4" s="15"/>
      <c r="D4" s="15"/>
      <c r="E4" s="4"/>
      <c r="F4" s="4"/>
    </row>
    <row r="5" ht="24.0" customHeight="1">
      <c r="A5" s="19" t="s">
        <v>25</v>
      </c>
    </row>
    <row r="6">
      <c r="A6" s="4" t="s">
        <v>28</v>
      </c>
      <c r="B6" s="20" t="s">
        <v>29</v>
      </c>
      <c r="C6" s="15" t="s">
        <v>30</v>
      </c>
      <c r="D6" s="15" t="s">
        <v>31</v>
      </c>
      <c r="E6" s="4"/>
      <c r="F6" s="4"/>
    </row>
    <row r="7">
      <c r="A7" s="4" t="s">
        <v>33</v>
      </c>
      <c r="B7" s="22">
        <v>0.0</v>
      </c>
      <c r="C7" s="15" t="s">
        <v>35</v>
      </c>
      <c r="D7" s="15" t="s">
        <v>36</v>
      </c>
      <c r="E7" s="4" t="s">
        <v>37</v>
      </c>
      <c r="F7" s="4"/>
    </row>
    <row r="8">
      <c r="A8" s="4" t="s">
        <v>38</v>
      </c>
      <c r="B8" s="22">
        <v>6250.0</v>
      </c>
      <c r="C8" s="15" t="s">
        <v>39</v>
      </c>
      <c r="D8" s="15" t="s">
        <v>36</v>
      </c>
      <c r="E8" s="4" t="s">
        <v>40</v>
      </c>
      <c r="F8" s="4"/>
    </row>
    <row r="9">
      <c r="A9" s="4" t="s">
        <v>41</v>
      </c>
      <c r="B9" s="26">
        <f>B7+(B8*12)</f>
        <v>75000</v>
      </c>
      <c r="C9" s="15" t="s">
        <v>61</v>
      </c>
      <c r="D9" s="15" t="s">
        <v>62</v>
      </c>
      <c r="E9" s="4" t="s">
        <v>37</v>
      </c>
      <c r="F9" s="4"/>
    </row>
    <row r="10">
      <c r="A10" s="4"/>
      <c r="B10" s="4"/>
      <c r="C10" s="15"/>
      <c r="D10" s="15"/>
      <c r="E10" s="4"/>
      <c r="F10" s="4"/>
    </row>
    <row r="11" ht="24.0" customHeight="1">
      <c r="A11" s="19" t="s">
        <v>65</v>
      </c>
    </row>
    <row r="12">
      <c r="A12" s="4" t="s">
        <v>66</v>
      </c>
      <c r="B12" s="30">
        <v>100000.0</v>
      </c>
      <c r="C12" s="15" t="s">
        <v>67</v>
      </c>
      <c r="D12" s="15" t="s">
        <v>68</v>
      </c>
      <c r="E12" s="4" t="s">
        <v>69</v>
      </c>
      <c r="F12" s="4"/>
    </row>
    <row r="13">
      <c r="A13" s="4" t="s">
        <v>70</v>
      </c>
      <c r="B13" s="33">
        <v>0.03</v>
      </c>
      <c r="C13" s="15" t="s">
        <v>71</v>
      </c>
      <c r="D13" s="15" t="s">
        <v>72</v>
      </c>
      <c r="E13" s="4" t="s">
        <v>21</v>
      </c>
      <c r="F13" s="4"/>
    </row>
    <row r="14">
      <c r="A14" s="4" t="s">
        <v>75</v>
      </c>
      <c r="B14" s="33">
        <v>0.08</v>
      </c>
      <c r="C14" s="15" t="s">
        <v>77</v>
      </c>
      <c r="D14" s="15" t="s">
        <v>78</v>
      </c>
      <c r="E14" s="4" t="s">
        <v>21</v>
      </c>
      <c r="F14" s="4"/>
    </row>
    <row r="15">
      <c r="A15" s="4" t="s">
        <v>79</v>
      </c>
      <c r="B15" s="39">
        <f>MAX(B14-B13,0)</f>
        <v>0.05</v>
      </c>
      <c r="C15" s="15" t="s">
        <v>81</v>
      </c>
      <c r="D15" s="15" t="s">
        <v>62</v>
      </c>
      <c r="E15" s="4" t="s">
        <v>82</v>
      </c>
      <c r="F15" s="4"/>
    </row>
    <row r="16">
      <c r="A16" s="4" t="s">
        <v>83</v>
      </c>
      <c r="B16" s="41">
        <f>IF(B6="Opportunity Builder",'Opportunity Builder'!$E$23,B12*B15)</f>
        <v>5000</v>
      </c>
      <c r="C16" s="15" t="s">
        <v>85</v>
      </c>
      <c r="D16" s="15" t="s">
        <v>86</v>
      </c>
      <c r="E16" s="4" t="s">
        <v>87</v>
      </c>
      <c r="F16" s="4"/>
    </row>
    <row r="17">
      <c r="A17" s="4"/>
      <c r="B17" s="4"/>
      <c r="C17" s="15"/>
      <c r="D17" s="15"/>
      <c r="E17" s="4"/>
      <c r="F17" s="4"/>
    </row>
    <row r="18" ht="24.0" customHeight="1">
      <c r="A18" s="19" t="s">
        <v>88</v>
      </c>
    </row>
    <row r="19">
      <c r="A19" s="4" t="s">
        <v>23</v>
      </c>
      <c r="B19" s="33">
        <v>0.03</v>
      </c>
      <c r="C19" s="15" t="s">
        <v>89</v>
      </c>
      <c r="D19" s="15" t="s">
        <v>90</v>
      </c>
      <c r="E19" s="4" t="s">
        <v>21</v>
      </c>
      <c r="F19" s="4"/>
    </row>
    <row r="20">
      <c r="A20" s="4" t="s">
        <v>27</v>
      </c>
      <c r="B20" s="33">
        <v>1.0</v>
      </c>
      <c r="C20" s="15" t="s">
        <v>91</v>
      </c>
      <c r="D20" s="15" t="s">
        <v>92</v>
      </c>
      <c r="E20" s="4" t="s">
        <v>21</v>
      </c>
      <c r="F20" s="4"/>
    </row>
    <row r="21" ht="15.75" customHeight="1">
      <c r="A21" s="4" t="s">
        <v>93</v>
      </c>
      <c r="B21" s="43">
        <v>250.0</v>
      </c>
      <c r="C21" s="15" t="s">
        <v>94</v>
      </c>
      <c r="D21" s="15" t="s">
        <v>95</v>
      </c>
      <c r="E21" s="4" t="s">
        <v>37</v>
      </c>
      <c r="F21" s="4"/>
    </row>
    <row r="22" ht="15.75" customHeight="1">
      <c r="A22" s="4" t="s">
        <v>45</v>
      </c>
      <c r="B22" s="33">
        <v>0.45</v>
      </c>
      <c r="C22" s="15" t="s">
        <v>96</v>
      </c>
      <c r="D22" s="15" t="s">
        <v>97</v>
      </c>
      <c r="E22" s="4" t="s">
        <v>21</v>
      </c>
      <c r="F22" s="4"/>
    </row>
    <row r="23" ht="15.75" customHeight="1">
      <c r="A23" s="4"/>
      <c r="B23" s="4"/>
      <c r="C23" s="15"/>
      <c r="D23" s="15"/>
      <c r="E23" s="4"/>
      <c r="F23" s="4"/>
    </row>
    <row r="24" ht="24.0" customHeight="1">
      <c r="A24" s="19" t="s">
        <v>98</v>
      </c>
    </row>
    <row r="25" ht="15.75" customHeight="1">
      <c r="A25" s="44" t="s">
        <v>20</v>
      </c>
      <c r="B25" s="44" t="s">
        <v>44</v>
      </c>
      <c r="C25" s="45" t="s">
        <v>100</v>
      </c>
      <c r="D25" s="45" t="s">
        <v>101</v>
      </c>
      <c r="E25" s="4"/>
      <c r="F25" s="4"/>
    </row>
    <row r="26" ht="15.75" customHeight="1">
      <c r="A26" s="4">
        <v>1.0</v>
      </c>
      <c r="B26" s="46">
        <v>0.1</v>
      </c>
      <c r="C26" s="47">
        <v>1.0</v>
      </c>
      <c r="D26" s="15" t="s">
        <v>102</v>
      </c>
      <c r="E26" s="4"/>
      <c r="F26" s="4"/>
    </row>
    <row r="27" ht="15.75" customHeight="1">
      <c r="A27" s="4">
        <v>2.0</v>
      </c>
      <c r="B27" s="46">
        <v>0.2</v>
      </c>
      <c r="C27" s="47">
        <v>1.0</v>
      </c>
      <c r="D27" s="15" t="s">
        <v>102</v>
      </c>
      <c r="E27" s="4"/>
      <c r="F27" s="4"/>
    </row>
    <row r="28" ht="15.75" customHeight="1">
      <c r="A28" s="4">
        <v>3.0</v>
      </c>
      <c r="B28" s="46">
        <v>0.3</v>
      </c>
      <c r="C28" s="47">
        <v>1.0</v>
      </c>
      <c r="D28" s="15" t="s">
        <v>102</v>
      </c>
      <c r="E28" s="4"/>
      <c r="F28" s="4"/>
    </row>
    <row r="29" ht="15.75" customHeight="1">
      <c r="A29" s="4">
        <v>4.0</v>
      </c>
      <c r="B29" s="46">
        <v>0.4</v>
      </c>
      <c r="C29" s="47">
        <v>1.0</v>
      </c>
      <c r="D29" s="15" t="s">
        <v>102</v>
      </c>
      <c r="E29" s="4"/>
      <c r="F29" s="4"/>
    </row>
    <row r="30" ht="15.75" customHeight="1">
      <c r="A30" s="4">
        <v>5.0</v>
      </c>
      <c r="B30" s="46">
        <v>0.5</v>
      </c>
      <c r="C30" s="47">
        <v>1.0</v>
      </c>
      <c r="D30" s="15" t="s">
        <v>102</v>
      </c>
      <c r="E30" s="4"/>
      <c r="F30" s="4"/>
    </row>
    <row r="31" ht="15.75" customHeight="1">
      <c r="A31" s="4">
        <v>6.0</v>
      </c>
      <c r="B31" s="46">
        <v>0.6</v>
      </c>
      <c r="C31" s="47">
        <v>1.0</v>
      </c>
      <c r="D31" s="15" t="s">
        <v>102</v>
      </c>
      <c r="E31" s="4"/>
      <c r="F31" s="4"/>
    </row>
    <row r="32" ht="15.75" customHeight="1">
      <c r="A32" s="4">
        <v>7.0</v>
      </c>
      <c r="B32" s="46">
        <v>0.7</v>
      </c>
      <c r="C32" s="47">
        <v>1.0</v>
      </c>
      <c r="D32" s="15" t="s">
        <v>102</v>
      </c>
      <c r="E32" s="4"/>
      <c r="F32" s="4"/>
    </row>
    <row r="33" ht="15.75" customHeight="1">
      <c r="A33" s="4">
        <v>8.0</v>
      </c>
      <c r="B33" s="46">
        <v>0.8</v>
      </c>
      <c r="C33" s="47">
        <v>1.0</v>
      </c>
      <c r="D33" s="15" t="s">
        <v>102</v>
      </c>
      <c r="E33" s="4"/>
      <c r="F33" s="4"/>
    </row>
    <row r="34" ht="15.75" customHeight="1">
      <c r="A34" s="4">
        <v>9.0</v>
      </c>
      <c r="B34" s="46">
        <v>0.9</v>
      </c>
      <c r="C34" s="47">
        <v>1.0</v>
      </c>
      <c r="D34" s="15" t="s">
        <v>102</v>
      </c>
      <c r="E34" s="4"/>
      <c r="F34" s="4"/>
    </row>
    <row r="35" ht="15.75" customHeight="1">
      <c r="A35" s="4">
        <v>10.0</v>
      </c>
      <c r="B35" s="46">
        <v>1.0</v>
      </c>
      <c r="C35" s="47">
        <v>1.0</v>
      </c>
      <c r="D35" s="15" t="s">
        <v>102</v>
      </c>
      <c r="E35" s="4"/>
      <c r="F35" s="4"/>
    </row>
    <row r="36" ht="15.75" customHeight="1">
      <c r="A36" s="4">
        <v>11.0</v>
      </c>
      <c r="B36" s="46">
        <v>1.0</v>
      </c>
      <c r="C36" s="47">
        <v>1.0</v>
      </c>
      <c r="D36" s="15" t="s">
        <v>102</v>
      </c>
      <c r="E36" s="4"/>
      <c r="F36" s="4"/>
    </row>
    <row r="37" ht="15.75" customHeight="1">
      <c r="A37" s="4">
        <v>12.0</v>
      </c>
      <c r="B37" s="46">
        <v>1.0</v>
      </c>
      <c r="C37" s="47">
        <v>1.0</v>
      </c>
      <c r="D37" s="15" t="s">
        <v>102</v>
      </c>
      <c r="E37" s="4"/>
      <c r="F37" s="4"/>
    </row>
    <row r="38" ht="15.75" customHeight="1">
      <c r="A38" s="4"/>
      <c r="B38" s="4"/>
      <c r="C38" s="15"/>
      <c r="D38" s="15"/>
      <c r="E38" s="4"/>
      <c r="F38" s="4"/>
    </row>
    <row r="39" ht="24.0" customHeight="1">
      <c r="A39" s="19" t="s">
        <v>104</v>
      </c>
    </row>
    <row r="40" ht="15.75" customHeight="1">
      <c r="A40" s="4" t="s">
        <v>105</v>
      </c>
      <c r="B40" s="41">
        <f>B16</f>
        <v>5000</v>
      </c>
      <c r="C40" s="15"/>
      <c r="D40" s="15"/>
      <c r="E40" s="4" t="s">
        <v>87</v>
      </c>
      <c r="F40" s="4"/>
    </row>
    <row r="41" ht="15.75" customHeight="1">
      <c r="A41" s="4" t="s">
        <v>106</v>
      </c>
      <c r="B41" s="41">
        <f t="shared" ref="B41:B44" si="1">B40*B19</f>
        <v>150</v>
      </c>
      <c r="C41" s="15"/>
      <c r="D41" s="15"/>
      <c r="E41" s="4" t="s">
        <v>107</v>
      </c>
      <c r="F41" s="4"/>
    </row>
    <row r="42" ht="15.75" customHeight="1">
      <c r="A42" s="4" t="s">
        <v>109</v>
      </c>
      <c r="B42" s="41">
        <f t="shared" si="1"/>
        <v>150</v>
      </c>
      <c r="C42" s="15"/>
      <c r="D42" s="15"/>
      <c r="E42" s="4" t="s">
        <v>110</v>
      </c>
      <c r="F42" s="4"/>
    </row>
    <row r="43" ht="15.75" customHeight="1">
      <c r="A43" s="4" t="s">
        <v>111</v>
      </c>
      <c r="B43" s="50">
        <f t="shared" si="1"/>
        <v>37500</v>
      </c>
      <c r="C43" s="15"/>
      <c r="D43" s="15"/>
      <c r="E43" s="4" t="s">
        <v>40</v>
      </c>
      <c r="F43" s="4"/>
    </row>
    <row r="44" ht="15.75" customHeight="1">
      <c r="A44" s="4" t="s">
        <v>112</v>
      </c>
      <c r="B44" s="50">
        <f t="shared" si="1"/>
        <v>16875</v>
      </c>
      <c r="C44" s="15"/>
      <c r="D44" s="15"/>
      <c r="E44" s="4" t="s">
        <v>40</v>
      </c>
      <c r="F44" s="4"/>
    </row>
    <row r="45" ht="15.75" customHeight="1">
      <c r="A45" s="4" t="s">
        <v>113</v>
      </c>
      <c r="B45" s="51">
        <f>IF(B9=0,0,(B43*12)/B9)</f>
        <v>6</v>
      </c>
      <c r="C45" s="15" t="s">
        <v>114</v>
      </c>
      <c r="D45" s="15"/>
      <c r="E45" s="4" t="s">
        <v>115</v>
      </c>
      <c r="F45" s="4"/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F1"/>
    <mergeCell ref="A3:F3"/>
    <mergeCell ref="A5:F5"/>
    <mergeCell ref="A11:F11"/>
    <mergeCell ref="A18:F18"/>
    <mergeCell ref="A24:F24"/>
    <mergeCell ref="A39:F39"/>
  </mergeCells>
  <dataValidations>
    <dataValidation type="list" allowBlank="1" sqref="B6">
      <formula1>"Simple aggregate,Opportunity Builder"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1.0"/>
    <col customWidth="1" min="3" max="4" width="14.0"/>
    <col customWidth="1" min="5" max="5" width="22.0"/>
    <col customWidth="1" min="6" max="6" width="36.0"/>
    <col customWidth="1" min="7" max="26" width="8.63"/>
  </cols>
  <sheetData>
    <row r="1" ht="31.5" customHeight="1">
      <c r="A1" s="1" t="s">
        <v>0</v>
      </c>
    </row>
    <row r="2">
      <c r="A2" s="3"/>
      <c r="B2" s="3"/>
      <c r="C2" s="3"/>
      <c r="D2" s="3"/>
      <c r="E2" s="3"/>
      <c r="F2" s="3"/>
    </row>
    <row r="3" ht="25.5" customHeight="1">
      <c r="A3" s="5" t="s">
        <v>4</v>
      </c>
    </row>
    <row r="4" ht="25.5" customHeight="1"/>
    <row r="5">
      <c r="A5" s="3"/>
      <c r="B5" s="3"/>
      <c r="C5" s="3"/>
      <c r="D5" s="3"/>
      <c r="E5" s="3"/>
      <c r="F5" s="3"/>
    </row>
    <row r="6">
      <c r="A6" s="8" t="s">
        <v>5</v>
      </c>
      <c r="B6" s="8" t="s">
        <v>6</v>
      </c>
      <c r="C6" s="8" t="s">
        <v>7</v>
      </c>
      <c r="D6" s="8" t="s">
        <v>8</v>
      </c>
      <c r="E6" s="8" t="s">
        <v>9</v>
      </c>
      <c r="F6" s="8" t="s">
        <v>11</v>
      </c>
    </row>
    <row r="7">
      <c r="A7" s="10"/>
      <c r="B7" s="11"/>
      <c r="C7" s="13"/>
      <c r="D7" s="13"/>
      <c r="E7" s="18">
        <f t="shared" ref="E7:E21" si="1">IF(B7="",0,B7*MAX(D7-C7,0))</f>
        <v>0</v>
      </c>
      <c r="F7" s="10"/>
    </row>
    <row r="8">
      <c r="A8" s="10"/>
      <c r="B8" s="11"/>
      <c r="C8" s="13"/>
      <c r="D8" s="13"/>
      <c r="E8" s="18">
        <f t="shared" si="1"/>
        <v>0</v>
      </c>
      <c r="F8" s="10"/>
    </row>
    <row r="9">
      <c r="A9" s="10"/>
      <c r="B9" s="11"/>
      <c r="C9" s="13"/>
      <c r="D9" s="13"/>
      <c r="E9" s="18">
        <f t="shared" si="1"/>
        <v>0</v>
      </c>
      <c r="F9" s="10"/>
    </row>
    <row r="10">
      <c r="A10" s="10"/>
      <c r="B10" s="11"/>
      <c r="C10" s="13"/>
      <c r="D10" s="13"/>
      <c r="E10" s="18">
        <f t="shared" si="1"/>
        <v>0</v>
      </c>
      <c r="F10" s="10"/>
    </row>
    <row r="11">
      <c r="A11" s="10"/>
      <c r="B11" s="11"/>
      <c r="C11" s="13"/>
      <c r="D11" s="13"/>
      <c r="E11" s="18">
        <f t="shared" si="1"/>
        <v>0</v>
      </c>
      <c r="F11" s="10"/>
    </row>
    <row r="12">
      <c r="A12" s="10"/>
      <c r="B12" s="11"/>
      <c r="C12" s="13"/>
      <c r="D12" s="13"/>
      <c r="E12" s="18">
        <f t="shared" si="1"/>
        <v>0</v>
      </c>
      <c r="F12" s="10"/>
    </row>
    <row r="13">
      <c r="A13" s="10"/>
      <c r="B13" s="11"/>
      <c r="C13" s="13"/>
      <c r="D13" s="13"/>
      <c r="E13" s="18">
        <f t="shared" si="1"/>
        <v>0</v>
      </c>
      <c r="F13" s="10"/>
    </row>
    <row r="14">
      <c r="A14" s="10"/>
      <c r="B14" s="11"/>
      <c r="C14" s="13"/>
      <c r="D14" s="13"/>
      <c r="E14" s="18">
        <f t="shared" si="1"/>
        <v>0</v>
      </c>
      <c r="F14" s="10"/>
    </row>
    <row r="15">
      <c r="A15" s="10"/>
      <c r="B15" s="11"/>
      <c r="C15" s="13"/>
      <c r="D15" s="13"/>
      <c r="E15" s="18">
        <f t="shared" si="1"/>
        <v>0</v>
      </c>
      <c r="F15" s="10"/>
    </row>
    <row r="16">
      <c r="A16" s="10"/>
      <c r="B16" s="11"/>
      <c r="C16" s="13"/>
      <c r="D16" s="13"/>
      <c r="E16" s="18">
        <f t="shared" si="1"/>
        <v>0</v>
      </c>
      <c r="F16" s="10"/>
    </row>
    <row r="17">
      <c r="A17" s="10"/>
      <c r="B17" s="11"/>
      <c r="C17" s="13"/>
      <c r="D17" s="13"/>
      <c r="E17" s="18">
        <f t="shared" si="1"/>
        <v>0</v>
      </c>
      <c r="F17" s="10"/>
    </row>
    <row r="18">
      <c r="A18" s="10"/>
      <c r="B18" s="11"/>
      <c r="C18" s="13"/>
      <c r="D18" s="13"/>
      <c r="E18" s="18">
        <f t="shared" si="1"/>
        <v>0</v>
      </c>
      <c r="F18" s="10"/>
    </row>
    <row r="19">
      <c r="A19" s="10"/>
      <c r="B19" s="11"/>
      <c r="C19" s="13"/>
      <c r="D19" s="13"/>
      <c r="E19" s="18">
        <f t="shared" si="1"/>
        <v>0</v>
      </c>
      <c r="F19" s="10"/>
    </row>
    <row r="20">
      <c r="A20" s="10"/>
      <c r="B20" s="11"/>
      <c r="C20" s="13"/>
      <c r="D20" s="13"/>
      <c r="E20" s="18">
        <f t="shared" si="1"/>
        <v>0</v>
      </c>
      <c r="F20" s="10"/>
    </row>
    <row r="21" ht="15.75" customHeight="1">
      <c r="A21" s="10"/>
      <c r="B21" s="11"/>
      <c r="C21" s="13"/>
      <c r="D21" s="13"/>
      <c r="E21" s="18">
        <f t="shared" si="1"/>
        <v>0</v>
      </c>
      <c r="F21" s="10"/>
    </row>
    <row r="22" ht="15.75" customHeight="1">
      <c r="A22" s="3"/>
      <c r="B22" s="3"/>
      <c r="C22" s="3"/>
      <c r="D22" s="3"/>
      <c r="E22" s="28"/>
      <c r="F22" s="3"/>
    </row>
    <row r="23" ht="15.75" customHeight="1">
      <c r="A23" s="29" t="s">
        <v>64</v>
      </c>
      <c r="B23" s="29"/>
      <c r="C23" s="29"/>
      <c r="D23" s="29"/>
      <c r="E23" s="34">
        <f>SUM(E7:E21)</f>
        <v>0</v>
      </c>
      <c r="F23" s="29"/>
    </row>
    <row r="24" ht="15.75" customHeight="1">
      <c r="A24" s="35"/>
      <c r="B24" s="35"/>
      <c r="C24" s="35"/>
      <c r="D24" s="35"/>
      <c r="E24" s="36"/>
      <c r="F24" s="35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3:F4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3" width="12.0"/>
    <col customWidth="1" min="4" max="5" width="17.0"/>
    <col customWidth="1" min="6" max="7" width="18.0"/>
    <col customWidth="1" min="8" max="13" width="17.0"/>
    <col customWidth="1" min="14" max="15" width="20.0"/>
    <col customWidth="1" min="16" max="26" width="8.63"/>
  </cols>
  <sheetData>
    <row r="1" ht="31.5" customHeight="1">
      <c r="A1" s="1" t="s">
        <v>2</v>
      </c>
    </row>
    <row r="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>
      <c r="A3" s="12" t="s">
        <v>12</v>
      </c>
    </row>
    <row r="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>
      <c r="A5" s="23" t="s">
        <v>20</v>
      </c>
      <c r="B5" s="23" t="s">
        <v>42</v>
      </c>
      <c r="C5" s="23" t="s">
        <v>44</v>
      </c>
      <c r="D5" s="23" t="s">
        <v>46</v>
      </c>
      <c r="E5" s="23" t="s">
        <v>47</v>
      </c>
      <c r="F5" s="23" t="s">
        <v>48</v>
      </c>
      <c r="G5" s="23" t="s">
        <v>49</v>
      </c>
      <c r="H5" s="23" t="s">
        <v>51</v>
      </c>
      <c r="I5" s="23" t="s">
        <v>52</v>
      </c>
      <c r="J5" s="23" t="s">
        <v>53</v>
      </c>
      <c r="K5" s="23" t="s">
        <v>54</v>
      </c>
      <c r="L5" s="23" t="s">
        <v>56</v>
      </c>
      <c r="M5" s="23" t="s">
        <v>57</v>
      </c>
      <c r="N5" s="23" t="s">
        <v>58</v>
      </c>
      <c r="O5" s="23" t="s">
        <v>59</v>
      </c>
    </row>
    <row r="6">
      <c r="A6" s="6">
        <v>1.0</v>
      </c>
      <c r="B6" s="32">
        <f>Inputs!C26</f>
        <v>1</v>
      </c>
      <c r="C6" s="32">
        <f>Inputs!B26</f>
        <v>0.1</v>
      </c>
      <c r="D6" s="37">
        <f>Inputs!$B$16*B6</f>
        <v>5000</v>
      </c>
      <c r="E6" s="37">
        <f t="shared" ref="E6:E17" si="1">D6*C6</f>
        <v>500</v>
      </c>
      <c r="F6" s="37">
        <f>E6*Inputs!$B$19</f>
        <v>15</v>
      </c>
      <c r="G6" s="37">
        <f>F6*Inputs!$B$20</f>
        <v>15</v>
      </c>
      <c r="H6" s="40">
        <f>G6*Inputs!$B$21</f>
        <v>3750</v>
      </c>
      <c r="I6" s="40">
        <f>H6*Inputs!$B$22</f>
        <v>1687.5</v>
      </c>
      <c r="J6" s="40">
        <f>Inputs!$B$8+IF(A6=1,Inputs!$B$7,0)</f>
        <v>6250</v>
      </c>
      <c r="K6" s="40">
        <f t="shared" ref="K6:K17" si="2">SUM($I$6:I6)</f>
        <v>1687.5</v>
      </c>
      <c r="L6" s="40">
        <f t="shared" ref="L6:L17" si="3">SUM($J$6:J6)</f>
        <v>6250</v>
      </c>
      <c r="M6" s="40">
        <f t="shared" ref="M6:M17" si="4">K6-L6</f>
        <v>-4562.5</v>
      </c>
      <c r="N6" s="6">
        <f>IF(K6&gt;=Inputs!$B$9,A6,999)</f>
        <v>999</v>
      </c>
      <c r="O6" s="6">
        <f t="shared" ref="O6:O17" si="5">IF(M6&gt;=0,A6,999)</f>
        <v>999</v>
      </c>
    </row>
    <row r="7">
      <c r="A7" s="6">
        <v>2.0</v>
      </c>
      <c r="B7" s="32">
        <f>Inputs!C27</f>
        <v>1</v>
      </c>
      <c r="C7" s="32">
        <f>Inputs!B27</f>
        <v>0.2</v>
      </c>
      <c r="D7" s="37">
        <f>Inputs!$B$16*B7</f>
        <v>5000</v>
      </c>
      <c r="E7" s="37">
        <f t="shared" si="1"/>
        <v>1000</v>
      </c>
      <c r="F7" s="37">
        <f>E7*Inputs!$B$19</f>
        <v>30</v>
      </c>
      <c r="G7" s="37">
        <f>F7*Inputs!$B$20</f>
        <v>30</v>
      </c>
      <c r="H7" s="40">
        <f>G7*Inputs!$B$21</f>
        <v>7500</v>
      </c>
      <c r="I7" s="40">
        <f>H7*Inputs!$B$22</f>
        <v>3375</v>
      </c>
      <c r="J7" s="40">
        <f>Inputs!$B$8+IF(A7=1,Inputs!$B$7,0)</f>
        <v>6250</v>
      </c>
      <c r="K7" s="40">
        <f t="shared" si="2"/>
        <v>5062.5</v>
      </c>
      <c r="L7" s="40">
        <f t="shared" si="3"/>
        <v>12500</v>
      </c>
      <c r="M7" s="40">
        <f t="shared" si="4"/>
        <v>-7437.5</v>
      </c>
      <c r="N7" s="6">
        <f>IF(K7&gt;=Inputs!$B$9,A7,999)</f>
        <v>999</v>
      </c>
      <c r="O7" s="6">
        <f t="shared" si="5"/>
        <v>999</v>
      </c>
    </row>
    <row r="8">
      <c r="A8" s="6">
        <v>3.0</v>
      </c>
      <c r="B8" s="32">
        <f>Inputs!C28</f>
        <v>1</v>
      </c>
      <c r="C8" s="32">
        <f>Inputs!B28</f>
        <v>0.3</v>
      </c>
      <c r="D8" s="37">
        <f>Inputs!$B$16*B8</f>
        <v>5000</v>
      </c>
      <c r="E8" s="37">
        <f t="shared" si="1"/>
        <v>1500</v>
      </c>
      <c r="F8" s="37">
        <f>E8*Inputs!$B$19</f>
        <v>45</v>
      </c>
      <c r="G8" s="37">
        <f>F8*Inputs!$B$20</f>
        <v>45</v>
      </c>
      <c r="H8" s="40">
        <f>G8*Inputs!$B$21</f>
        <v>11250</v>
      </c>
      <c r="I8" s="40">
        <f>H8*Inputs!$B$22</f>
        <v>5062.5</v>
      </c>
      <c r="J8" s="40">
        <f>Inputs!$B$8+IF(A8=1,Inputs!$B$7,0)</f>
        <v>6250</v>
      </c>
      <c r="K8" s="40">
        <f t="shared" si="2"/>
        <v>10125</v>
      </c>
      <c r="L8" s="40">
        <f t="shared" si="3"/>
        <v>18750</v>
      </c>
      <c r="M8" s="40">
        <f t="shared" si="4"/>
        <v>-8625</v>
      </c>
      <c r="N8" s="6">
        <f>IF(K8&gt;=Inputs!$B$9,A8,999)</f>
        <v>999</v>
      </c>
      <c r="O8" s="6">
        <f t="shared" si="5"/>
        <v>999</v>
      </c>
    </row>
    <row r="9">
      <c r="A9" s="6">
        <v>4.0</v>
      </c>
      <c r="B9" s="32">
        <f>Inputs!C29</f>
        <v>1</v>
      </c>
      <c r="C9" s="32">
        <f>Inputs!B29</f>
        <v>0.4</v>
      </c>
      <c r="D9" s="37">
        <f>Inputs!$B$16*B9</f>
        <v>5000</v>
      </c>
      <c r="E9" s="37">
        <f t="shared" si="1"/>
        <v>2000</v>
      </c>
      <c r="F9" s="37">
        <f>E9*Inputs!$B$19</f>
        <v>60</v>
      </c>
      <c r="G9" s="37">
        <f>F9*Inputs!$B$20</f>
        <v>60</v>
      </c>
      <c r="H9" s="40">
        <f>G9*Inputs!$B$21</f>
        <v>15000</v>
      </c>
      <c r="I9" s="40">
        <f>H9*Inputs!$B$22</f>
        <v>6750</v>
      </c>
      <c r="J9" s="40">
        <f>Inputs!$B$8+IF(A9=1,Inputs!$B$7,0)</f>
        <v>6250</v>
      </c>
      <c r="K9" s="40">
        <f t="shared" si="2"/>
        <v>16875</v>
      </c>
      <c r="L9" s="40">
        <f t="shared" si="3"/>
        <v>25000</v>
      </c>
      <c r="M9" s="40">
        <f t="shared" si="4"/>
        <v>-8125</v>
      </c>
      <c r="N9" s="6">
        <f>IF(K9&gt;=Inputs!$B$9,A9,999)</f>
        <v>999</v>
      </c>
      <c r="O9" s="6">
        <f t="shared" si="5"/>
        <v>999</v>
      </c>
    </row>
    <row r="10">
      <c r="A10" s="6">
        <v>5.0</v>
      </c>
      <c r="B10" s="32">
        <f>Inputs!C30</f>
        <v>1</v>
      </c>
      <c r="C10" s="32">
        <f>Inputs!B30</f>
        <v>0.5</v>
      </c>
      <c r="D10" s="37">
        <f>Inputs!$B$16*B10</f>
        <v>5000</v>
      </c>
      <c r="E10" s="37">
        <f t="shared" si="1"/>
        <v>2500</v>
      </c>
      <c r="F10" s="37">
        <f>E10*Inputs!$B$19</f>
        <v>75</v>
      </c>
      <c r="G10" s="37">
        <f>F10*Inputs!$B$20</f>
        <v>75</v>
      </c>
      <c r="H10" s="40">
        <f>G10*Inputs!$B$21</f>
        <v>18750</v>
      </c>
      <c r="I10" s="40">
        <f>H10*Inputs!$B$22</f>
        <v>8437.5</v>
      </c>
      <c r="J10" s="40">
        <f>Inputs!$B$8+IF(A10=1,Inputs!$B$7,0)</f>
        <v>6250</v>
      </c>
      <c r="K10" s="40">
        <f t="shared" si="2"/>
        <v>25312.5</v>
      </c>
      <c r="L10" s="40">
        <f t="shared" si="3"/>
        <v>31250</v>
      </c>
      <c r="M10" s="40">
        <f t="shared" si="4"/>
        <v>-5937.5</v>
      </c>
      <c r="N10" s="6">
        <f>IF(K10&gt;=Inputs!$B$9,A10,999)</f>
        <v>999</v>
      </c>
      <c r="O10" s="6">
        <f t="shared" si="5"/>
        <v>999</v>
      </c>
    </row>
    <row r="11">
      <c r="A11" s="6">
        <v>6.0</v>
      </c>
      <c r="B11" s="32">
        <f>Inputs!C31</f>
        <v>1</v>
      </c>
      <c r="C11" s="32">
        <f>Inputs!B31</f>
        <v>0.6</v>
      </c>
      <c r="D11" s="37">
        <f>Inputs!$B$16*B11</f>
        <v>5000</v>
      </c>
      <c r="E11" s="37">
        <f t="shared" si="1"/>
        <v>3000</v>
      </c>
      <c r="F11" s="37">
        <f>E11*Inputs!$B$19</f>
        <v>90</v>
      </c>
      <c r="G11" s="37">
        <f>F11*Inputs!$B$20</f>
        <v>90</v>
      </c>
      <c r="H11" s="40">
        <f>G11*Inputs!$B$21</f>
        <v>22500</v>
      </c>
      <c r="I11" s="40">
        <f>H11*Inputs!$B$22</f>
        <v>10125</v>
      </c>
      <c r="J11" s="40">
        <f>Inputs!$B$8+IF(A11=1,Inputs!$B$7,0)</f>
        <v>6250</v>
      </c>
      <c r="K11" s="40">
        <f t="shared" si="2"/>
        <v>35437.5</v>
      </c>
      <c r="L11" s="40">
        <f t="shared" si="3"/>
        <v>37500</v>
      </c>
      <c r="M11" s="40">
        <f t="shared" si="4"/>
        <v>-2062.5</v>
      </c>
      <c r="N11" s="6">
        <f>IF(K11&gt;=Inputs!$B$9,A11,999)</f>
        <v>999</v>
      </c>
      <c r="O11" s="6">
        <f t="shared" si="5"/>
        <v>999</v>
      </c>
    </row>
    <row r="12">
      <c r="A12" s="6">
        <v>7.0</v>
      </c>
      <c r="B12" s="32">
        <f>Inputs!C32</f>
        <v>1</v>
      </c>
      <c r="C12" s="32">
        <f>Inputs!B32</f>
        <v>0.7</v>
      </c>
      <c r="D12" s="37">
        <f>Inputs!$B$16*B12</f>
        <v>5000</v>
      </c>
      <c r="E12" s="37">
        <f t="shared" si="1"/>
        <v>3500</v>
      </c>
      <c r="F12" s="37">
        <f>E12*Inputs!$B$19</f>
        <v>105</v>
      </c>
      <c r="G12" s="37">
        <f>F12*Inputs!$B$20</f>
        <v>105</v>
      </c>
      <c r="H12" s="40">
        <f>G12*Inputs!$B$21</f>
        <v>26250</v>
      </c>
      <c r="I12" s="40">
        <f>H12*Inputs!$B$22</f>
        <v>11812.5</v>
      </c>
      <c r="J12" s="40">
        <f>Inputs!$B$8+IF(A12=1,Inputs!$B$7,0)</f>
        <v>6250</v>
      </c>
      <c r="K12" s="40">
        <f t="shared" si="2"/>
        <v>47250</v>
      </c>
      <c r="L12" s="40">
        <f t="shared" si="3"/>
        <v>43750</v>
      </c>
      <c r="M12" s="40">
        <f t="shared" si="4"/>
        <v>3500</v>
      </c>
      <c r="N12" s="6">
        <f>IF(K12&gt;=Inputs!$B$9,A12,999)</f>
        <v>999</v>
      </c>
      <c r="O12" s="6">
        <f t="shared" si="5"/>
        <v>7</v>
      </c>
    </row>
    <row r="13">
      <c r="A13" s="6">
        <v>8.0</v>
      </c>
      <c r="B13" s="32">
        <f>Inputs!C33</f>
        <v>1</v>
      </c>
      <c r="C13" s="32">
        <f>Inputs!B33</f>
        <v>0.8</v>
      </c>
      <c r="D13" s="37">
        <f>Inputs!$B$16*B13</f>
        <v>5000</v>
      </c>
      <c r="E13" s="37">
        <f t="shared" si="1"/>
        <v>4000</v>
      </c>
      <c r="F13" s="37">
        <f>E13*Inputs!$B$19</f>
        <v>120</v>
      </c>
      <c r="G13" s="37">
        <f>F13*Inputs!$B$20</f>
        <v>120</v>
      </c>
      <c r="H13" s="40">
        <f>G13*Inputs!$B$21</f>
        <v>30000</v>
      </c>
      <c r="I13" s="40">
        <f>H13*Inputs!$B$22</f>
        <v>13500</v>
      </c>
      <c r="J13" s="40">
        <f>Inputs!$B$8+IF(A13=1,Inputs!$B$7,0)</f>
        <v>6250</v>
      </c>
      <c r="K13" s="40">
        <f t="shared" si="2"/>
        <v>60750</v>
      </c>
      <c r="L13" s="40">
        <f t="shared" si="3"/>
        <v>50000</v>
      </c>
      <c r="M13" s="40">
        <f t="shared" si="4"/>
        <v>10750</v>
      </c>
      <c r="N13" s="6">
        <f>IF(K13&gt;=Inputs!$B$9,A13,999)</f>
        <v>999</v>
      </c>
      <c r="O13" s="6">
        <f t="shared" si="5"/>
        <v>8</v>
      </c>
    </row>
    <row r="14">
      <c r="A14" s="6">
        <v>9.0</v>
      </c>
      <c r="B14" s="32">
        <f>Inputs!C34</f>
        <v>1</v>
      </c>
      <c r="C14" s="32">
        <f>Inputs!B34</f>
        <v>0.9</v>
      </c>
      <c r="D14" s="37">
        <f>Inputs!$B$16*B14</f>
        <v>5000</v>
      </c>
      <c r="E14" s="37">
        <f t="shared" si="1"/>
        <v>4500</v>
      </c>
      <c r="F14" s="37">
        <f>E14*Inputs!$B$19</f>
        <v>135</v>
      </c>
      <c r="G14" s="37">
        <f>F14*Inputs!$B$20</f>
        <v>135</v>
      </c>
      <c r="H14" s="40">
        <f>G14*Inputs!$B$21</f>
        <v>33750</v>
      </c>
      <c r="I14" s="40">
        <f>H14*Inputs!$B$22</f>
        <v>15187.5</v>
      </c>
      <c r="J14" s="40">
        <f>Inputs!$B$8+IF(A14=1,Inputs!$B$7,0)</f>
        <v>6250</v>
      </c>
      <c r="K14" s="40">
        <f t="shared" si="2"/>
        <v>75937.5</v>
      </c>
      <c r="L14" s="40">
        <f t="shared" si="3"/>
        <v>56250</v>
      </c>
      <c r="M14" s="40">
        <f t="shared" si="4"/>
        <v>19687.5</v>
      </c>
      <c r="N14" s="6">
        <f>IF(K14&gt;=Inputs!$B$9,A14,999)</f>
        <v>9</v>
      </c>
      <c r="O14" s="6">
        <f t="shared" si="5"/>
        <v>9</v>
      </c>
    </row>
    <row r="15">
      <c r="A15" s="6">
        <v>10.0</v>
      </c>
      <c r="B15" s="32">
        <f>Inputs!C35</f>
        <v>1</v>
      </c>
      <c r="C15" s="32">
        <f>Inputs!B35</f>
        <v>1</v>
      </c>
      <c r="D15" s="37">
        <f>Inputs!$B$16*B15</f>
        <v>5000</v>
      </c>
      <c r="E15" s="37">
        <f t="shared" si="1"/>
        <v>5000</v>
      </c>
      <c r="F15" s="37">
        <f>E15*Inputs!$B$19</f>
        <v>150</v>
      </c>
      <c r="G15" s="37">
        <f>F15*Inputs!$B$20</f>
        <v>150</v>
      </c>
      <c r="H15" s="40">
        <f>G15*Inputs!$B$21</f>
        <v>37500</v>
      </c>
      <c r="I15" s="40">
        <f>H15*Inputs!$B$22</f>
        <v>16875</v>
      </c>
      <c r="J15" s="40">
        <f>Inputs!$B$8+IF(A15=1,Inputs!$B$7,0)</f>
        <v>6250</v>
      </c>
      <c r="K15" s="40">
        <f t="shared" si="2"/>
        <v>92812.5</v>
      </c>
      <c r="L15" s="40">
        <f t="shared" si="3"/>
        <v>62500</v>
      </c>
      <c r="M15" s="40">
        <f t="shared" si="4"/>
        <v>30312.5</v>
      </c>
      <c r="N15" s="6">
        <f>IF(K15&gt;=Inputs!$B$9,A15,999)</f>
        <v>10</v>
      </c>
      <c r="O15" s="6">
        <f t="shared" si="5"/>
        <v>10</v>
      </c>
    </row>
    <row r="16">
      <c r="A16" s="6">
        <v>11.0</v>
      </c>
      <c r="B16" s="32">
        <f>Inputs!C36</f>
        <v>1</v>
      </c>
      <c r="C16" s="32">
        <f>Inputs!B36</f>
        <v>1</v>
      </c>
      <c r="D16" s="37">
        <f>Inputs!$B$16*B16</f>
        <v>5000</v>
      </c>
      <c r="E16" s="37">
        <f t="shared" si="1"/>
        <v>5000</v>
      </c>
      <c r="F16" s="37">
        <f>E16*Inputs!$B$19</f>
        <v>150</v>
      </c>
      <c r="G16" s="37">
        <f>F16*Inputs!$B$20</f>
        <v>150</v>
      </c>
      <c r="H16" s="40">
        <f>G16*Inputs!$B$21</f>
        <v>37500</v>
      </c>
      <c r="I16" s="40">
        <f>H16*Inputs!$B$22</f>
        <v>16875</v>
      </c>
      <c r="J16" s="40">
        <f>Inputs!$B$8+IF(A16=1,Inputs!$B$7,0)</f>
        <v>6250</v>
      </c>
      <c r="K16" s="40">
        <f t="shared" si="2"/>
        <v>109687.5</v>
      </c>
      <c r="L16" s="40">
        <f t="shared" si="3"/>
        <v>68750</v>
      </c>
      <c r="M16" s="40">
        <f t="shared" si="4"/>
        <v>40937.5</v>
      </c>
      <c r="N16" s="6">
        <f>IF(K16&gt;=Inputs!$B$9,A16,999)</f>
        <v>11</v>
      </c>
      <c r="O16" s="6">
        <f t="shared" si="5"/>
        <v>11</v>
      </c>
    </row>
    <row r="17">
      <c r="A17" s="6">
        <v>12.0</v>
      </c>
      <c r="B17" s="32">
        <f>Inputs!C37</f>
        <v>1</v>
      </c>
      <c r="C17" s="32">
        <f>Inputs!B37</f>
        <v>1</v>
      </c>
      <c r="D17" s="37">
        <f>Inputs!$B$16*B17</f>
        <v>5000</v>
      </c>
      <c r="E17" s="37">
        <f t="shared" si="1"/>
        <v>5000</v>
      </c>
      <c r="F17" s="37">
        <f>E17*Inputs!$B$19</f>
        <v>150</v>
      </c>
      <c r="G17" s="37">
        <f>F17*Inputs!$B$20</f>
        <v>150</v>
      </c>
      <c r="H17" s="40">
        <f>G17*Inputs!$B$21</f>
        <v>37500</v>
      </c>
      <c r="I17" s="40">
        <f>H17*Inputs!$B$22</f>
        <v>16875</v>
      </c>
      <c r="J17" s="40">
        <f>Inputs!$B$8+IF(A17=1,Inputs!$B$7,0)</f>
        <v>6250</v>
      </c>
      <c r="K17" s="40">
        <f t="shared" si="2"/>
        <v>126562.5</v>
      </c>
      <c r="L17" s="40">
        <f t="shared" si="3"/>
        <v>75000</v>
      </c>
      <c r="M17" s="40">
        <f t="shared" si="4"/>
        <v>51562.5</v>
      </c>
      <c r="N17" s="6">
        <f>IF(K17&gt;=Inputs!$B$9,A17,999)</f>
        <v>12</v>
      </c>
      <c r="O17" s="6">
        <f t="shared" si="5"/>
        <v>12</v>
      </c>
    </row>
    <row r="18">
      <c r="A18" s="6"/>
      <c r="B18" s="6"/>
      <c r="C18" s="6"/>
      <c r="D18" s="37"/>
      <c r="E18" s="37"/>
      <c r="F18" s="37"/>
      <c r="G18" s="37"/>
      <c r="H18" s="40"/>
      <c r="I18" s="40"/>
      <c r="J18" s="40"/>
      <c r="K18" s="6"/>
      <c r="L18" s="6"/>
      <c r="M18" s="6"/>
      <c r="N18" s="6"/>
      <c r="O18" s="6"/>
    </row>
    <row r="19">
      <c r="A19" s="29" t="s">
        <v>204</v>
      </c>
      <c r="B19" s="29"/>
      <c r="C19" s="29"/>
      <c r="D19" s="34"/>
      <c r="E19" s="34">
        <f t="shared" ref="E19:J19" si="6">SUM(E6:E17)</f>
        <v>37500</v>
      </c>
      <c r="F19" s="34">
        <f t="shared" si="6"/>
        <v>1125</v>
      </c>
      <c r="G19" s="34">
        <f t="shared" si="6"/>
        <v>1125</v>
      </c>
      <c r="H19" s="70">
        <f t="shared" si="6"/>
        <v>281250</v>
      </c>
      <c r="I19" s="70">
        <f t="shared" si="6"/>
        <v>126562.5</v>
      </c>
      <c r="J19" s="70">
        <f t="shared" si="6"/>
        <v>75000</v>
      </c>
      <c r="K19" s="71">
        <f t="shared" ref="K19:L19" si="7">IF(MIN(N6:N17)=999,999,MIN(N6:N17))</f>
        <v>9</v>
      </c>
      <c r="L19" s="71">
        <f t="shared" si="7"/>
        <v>7</v>
      </c>
      <c r="M19" s="72">
        <f>IF(J19=0,0,(I19-J19)/J19)</f>
        <v>0.6875</v>
      </c>
      <c r="N19" s="73">
        <f>IF(J19=0,0,H19/J19)</f>
        <v>3.75</v>
      </c>
      <c r="O19" s="73">
        <f>IF(J19=0,0,I19/J19)</f>
        <v>1.6875</v>
      </c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ht="15.75" customHeight="1">
      <c r="A21" s="74" t="s">
        <v>205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O1"/>
    <mergeCell ref="A3:O3"/>
    <mergeCell ref="A21:O2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0"/>
    <col customWidth="1" min="2" max="4" width="16.0"/>
    <col customWidth="1" min="5" max="5" width="13.0"/>
    <col customWidth="1" min="6" max="6" width="52.0"/>
    <col customWidth="1" min="7" max="26" width="8.63"/>
  </cols>
  <sheetData>
    <row r="1" ht="31.5" customHeight="1">
      <c r="A1" s="1" t="s">
        <v>3</v>
      </c>
    </row>
    <row r="2">
      <c r="A2" s="7"/>
      <c r="B2" s="7"/>
      <c r="C2" s="7"/>
      <c r="D2" s="7"/>
      <c r="E2" s="7"/>
      <c r="F2" s="7"/>
    </row>
    <row r="3">
      <c r="A3" s="9" t="s">
        <v>10</v>
      </c>
    </row>
    <row r="5">
      <c r="A5" s="7"/>
      <c r="B5" s="7"/>
      <c r="C5" s="7"/>
      <c r="D5" s="7"/>
      <c r="E5" s="7"/>
      <c r="F5" s="7"/>
    </row>
    <row r="6">
      <c r="A6" s="14" t="s">
        <v>13</v>
      </c>
      <c r="B6" s="14" t="s">
        <v>14</v>
      </c>
      <c r="C6" s="14" t="s">
        <v>15</v>
      </c>
      <c r="D6" s="14" t="s">
        <v>16</v>
      </c>
      <c r="E6" s="14" t="s">
        <v>17</v>
      </c>
      <c r="F6" s="14" t="s">
        <v>18</v>
      </c>
    </row>
    <row r="7">
      <c r="A7" s="7" t="s">
        <v>19</v>
      </c>
      <c r="B7" s="16">
        <v>0.7</v>
      </c>
      <c r="C7" s="17">
        <v>1.0</v>
      </c>
      <c r="D7" s="16">
        <v>1.3</v>
      </c>
      <c r="E7" s="7" t="s">
        <v>21</v>
      </c>
      <c r="F7" s="7" t="s">
        <v>22</v>
      </c>
    </row>
    <row r="8">
      <c r="A8" s="7" t="s">
        <v>23</v>
      </c>
      <c r="B8" s="16">
        <v>0.024</v>
      </c>
      <c r="C8" s="17">
        <f>Inputs!$B$19</f>
        <v>0.03</v>
      </c>
      <c r="D8" s="16">
        <v>0.035</v>
      </c>
      <c r="E8" s="7" t="s">
        <v>21</v>
      </c>
      <c r="F8" s="7" t="s">
        <v>26</v>
      </c>
    </row>
    <row r="9">
      <c r="A9" s="7" t="s">
        <v>27</v>
      </c>
      <c r="B9" s="16">
        <v>1.0</v>
      </c>
      <c r="C9" s="17">
        <f>Inputs!$B$20</f>
        <v>1</v>
      </c>
      <c r="D9" s="16">
        <v>1.0</v>
      </c>
      <c r="E9" s="7" t="s">
        <v>21</v>
      </c>
      <c r="F9" s="7" t="s">
        <v>32</v>
      </c>
    </row>
    <row r="10">
      <c r="A10" s="7" t="s">
        <v>34</v>
      </c>
      <c r="B10" s="21">
        <v>225.0</v>
      </c>
      <c r="C10" s="24">
        <f>Inputs!$B$21</f>
        <v>250</v>
      </c>
      <c r="D10" s="21">
        <v>275.0</v>
      </c>
      <c r="E10" s="7" t="s">
        <v>37</v>
      </c>
      <c r="F10" s="7" t="s">
        <v>43</v>
      </c>
    </row>
    <row r="11">
      <c r="A11" s="7" t="s">
        <v>45</v>
      </c>
      <c r="B11" s="16">
        <v>0.4</v>
      </c>
      <c r="C11" s="17">
        <f>Inputs!$B$22</f>
        <v>0.45</v>
      </c>
      <c r="D11" s="16">
        <v>0.5</v>
      </c>
      <c r="E11" s="7" t="s">
        <v>21</v>
      </c>
      <c r="F11" s="7" t="s">
        <v>50</v>
      </c>
    </row>
    <row r="12">
      <c r="A12" s="7"/>
      <c r="B12" s="7"/>
      <c r="C12" s="7"/>
      <c r="D12" s="7"/>
      <c r="E12" s="7"/>
      <c r="F12" s="7"/>
    </row>
    <row r="13" ht="24.0" customHeight="1">
      <c r="A13" s="25" t="s">
        <v>55</v>
      </c>
    </row>
    <row r="14">
      <c r="A14" s="27" t="s">
        <v>60</v>
      </c>
      <c r="B14" s="27" t="s">
        <v>14</v>
      </c>
      <c r="C14" s="27" t="s">
        <v>15</v>
      </c>
      <c r="D14" s="27" t="s">
        <v>16</v>
      </c>
      <c r="E14" s="7"/>
      <c r="F14" s="7"/>
    </row>
    <row r="15">
      <c r="A15" s="7" t="s">
        <v>63</v>
      </c>
      <c r="B15" s="31">
        <f>Forecast!$E$19*B$7</f>
        <v>26250</v>
      </c>
      <c r="C15" s="31">
        <f>Forecast!$E$19*C$7</f>
        <v>37500</v>
      </c>
      <c r="D15" s="31">
        <f>Forecast!$E$19*D$7</f>
        <v>48750</v>
      </c>
      <c r="E15" s="7"/>
      <c r="F15" s="7"/>
    </row>
    <row r="16">
      <c r="A16" s="7" t="s">
        <v>73</v>
      </c>
      <c r="B16" s="31">
        <f t="shared" ref="B16:D16" si="1">B15*B$8</f>
        <v>630</v>
      </c>
      <c r="C16" s="31">
        <f t="shared" si="1"/>
        <v>1125</v>
      </c>
      <c r="D16" s="31">
        <f t="shared" si="1"/>
        <v>1706.25</v>
      </c>
      <c r="E16" s="7"/>
      <c r="F16" s="7"/>
    </row>
    <row r="17">
      <c r="A17" s="7" t="s">
        <v>74</v>
      </c>
      <c r="B17" s="31">
        <f t="shared" ref="B17:D17" si="2">B16*B$9</f>
        <v>630</v>
      </c>
      <c r="C17" s="31">
        <f t="shared" si="2"/>
        <v>1125</v>
      </c>
      <c r="D17" s="31">
        <f t="shared" si="2"/>
        <v>1706.25</v>
      </c>
      <c r="E17" s="7"/>
      <c r="F17" s="7"/>
    </row>
    <row r="18">
      <c r="A18" s="7" t="s">
        <v>76</v>
      </c>
      <c r="B18" s="38">
        <f t="shared" ref="B18:D18" si="3">B17*B$10</f>
        <v>141750</v>
      </c>
      <c r="C18" s="38">
        <f t="shared" si="3"/>
        <v>281250</v>
      </c>
      <c r="D18" s="38">
        <f t="shared" si="3"/>
        <v>469218.75</v>
      </c>
      <c r="E18" s="7"/>
      <c r="F18" s="7"/>
    </row>
    <row r="19">
      <c r="A19" s="7" t="s">
        <v>80</v>
      </c>
      <c r="B19" s="38">
        <f t="shared" ref="B19:D19" si="4">B18*B$11</f>
        <v>56700</v>
      </c>
      <c r="C19" s="38">
        <f t="shared" si="4"/>
        <v>126562.5</v>
      </c>
      <c r="D19" s="38">
        <f t="shared" si="4"/>
        <v>234609.375</v>
      </c>
      <c r="E19" s="7"/>
      <c r="F19" s="7"/>
    </row>
    <row r="20">
      <c r="A20" s="7" t="s">
        <v>84</v>
      </c>
      <c r="B20" s="42">
        <f>IF(Inputs!$B$9=0,0,(B19-Inputs!$B$9)/Inputs!$B$9)</f>
        <v>-0.244</v>
      </c>
      <c r="C20" s="42">
        <f>IF(Inputs!$B$9=0,0,(C19-Inputs!$B$9)/Inputs!$B$9)</f>
        <v>0.6875</v>
      </c>
      <c r="D20" s="42">
        <f>IF(Inputs!$B$9=0,0,(D19-Inputs!$B$9)/Inputs!$B$9)</f>
        <v>2.128125</v>
      </c>
      <c r="E20" s="7"/>
      <c r="F20" s="7"/>
    </row>
    <row r="21" ht="15.75" customHeight="1">
      <c r="A21" s="7" t="s">
        <v>99</v>
      </c>
      <c r="B21" s="48">
        <f>IF(Inputs!$B$9=0,0,B18/Inputs!$B$9)</f>
        <v>1.89</v>
      </c>
      <c r="C21" s="48">
        <f>IF(Inputs!$B$9=0,0,C18/Inputs!$B$9)</f>
        <v>3.75</v>
      </c>
      <c r="D21" s="48">
        <f>IF(Inputs!$B$9=0,0,D18/Inputs!$B$9)</f>
        <v>6.25625</v>
      </c>
      <c r="E21" s="7"/>
      <c r="F21" s="7"/>
    </row>
    <row r="22" ht="15.75" customHeight="1">
      <c r="A22" s="7" t="s">
        <v>103</v>
      </c>
      <c r="B22" s="48">
        <f>IF(Inputs!$B$9=0,0,B19/Inputs!$B$9)</f>
        <v>0.756</v>
      </c>
      <c r="C22" s="48">
        <f>IF(Inputs!$B$9=0,0,C19/Inputs!$B$9)</f>
        <v>1.6875</v>
      </c>
      <c r="D22" s="48">
        <f>IF(Inputs!$B$9=0,0,D19/Inputs!$B$9)</f>
        <v>3.128125</v>
      </c>
      <c r="E22" s="7"/>
      <c r="F22" s="7"/>
    </row>
    <row r="23" ht="15.75" customHeight="1">
      <c r="A23" s="7"/>
      <c r="B23" s="7"/>
      <c r="C23" s="7"/>
      <c r="D23" s="7"/>
      <c r="E23" s="7"/>
      <c r="F23" s="7"/>
    </row>
    <row r="24" ht="15.75" customHeight="1">
      <c r="A24" s="49" t="s">
        <v>108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F1"/>
    <mergeCell ref="A3:F4"/>
    <mergeCell ref="A13:F13"/>
    <mergeCell ref="A24:F25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0"/>
    <col customWidth="1" min="2" max="2" width="28.0"/>
    <col customWidth="1" min="3" max="3" width="50.0"/>
    <col customWidth="1" min="4" max="4" width="18.0"/>
    <col customWidth="1" min="5" max="5" width="42.0"/>
    <col customWidth="1" min="6" max="6" width="55.0"/>
    <col customWidth="1" min="7" max="26" width="8.63"/>
  </cols>
  <sheetData>
    <row r="1" ht="31.5" customHeight="1">
      <c r="A1" s="52" t="s">
        <v>116</v>
      </c>
    </row>
    <row r="2">
      <c r="A2" s="53"/>
      <c r="B2" s="53"/>
      <c r="C2" s="53"/>
      <c r="D2" s="53"/>
      <c r="E2" s="53"/>
      <c r="F2" s="53"/>
    </row>
    <row r="3">
      <c r="A3" s="54" t="s">
        <v>117</v>
      </c>
    </row>
    <row r="5">
      <c r="A5" s="53"/>
      <c r="B5" s="53"/>
      <c r="C5" s="53"/>
      <c r="D5" s="53"/>
      <c r="E5" s="53"/>
      <c r="F5" s="53"/>
    </row>
    <row r="6" ht="24.0" customHeight="1">
      <c r="A6" s="55" t="s">
        <v>118</v>
      </c>
    </row>
    <row r="7">
      <c r="A7" s="56" t="s">
        <v>119</v>
      </c>
      <c r="B7" s="57" t="s">
        <v>120</v>
      </c>
      <c r="C7" s="57" t="s">
        <v>121</v>
      </c>
      <c r="D7" s="57" t="s">
        <v>122</v>
      </c>
      <c r="E7" s="57" t="s">
        <v>123</v>
      </c>
      <c r="F7" s="57" t="s">
        <v>124</v>
      </c>
    </row>
    <row r="8">
      <c r="A8" s="56" t="s">
        <v>125</v>
      </c>
      <c r="B8" s="57" t="s">
        <v>126</v>
      </c>
      <c r="C8" s="57" t="s">
        <v>127</v>
      </c>
      <c r="D8" s="57" t="s">
        <v>122</v>
      </c>
      <c r="E8" s="57" t="s">
        <v>128</v>
      </c>
      <c r="F8" s="57" t="s">
        <v>129</v>
      </c>
    </row>
    <row r="9">
      <c r="A9" s="56" t="s">
        <v>130</v>
      </c>
      <c r="B9" s="57" t="s">
        <v>131</v>
      </c>
      <c r="C9" s="57" t="s">
        <v>132</v>
      </c>
      <c r="D9" s="57" t="s">
        <v>122</v>
      </c>
      <c r="E9" s="57" t="s">
        <v>133</v>
      </c>
      <c r="F9" s="57" t="s">
        <v>134</v>
      </c>
    </row>
    <row r="10">
      <c r="A10" s="56" t="s">
        <v>135</v>
      </c>
      <c r="B10" s="57" t="s">
        <v>136</v>
      </c>
      <c r="C10" s="57" t="s">
        <v>137</v>
      </c>
      <c r="D10" s="57" t="s">
        <v>122</v>
      </c>
      <c r="E10" s="57" t="s">
        <v>138</v>
      </c>
      <c r="F10" s="57" t="s">
        <v>139</v>
      </c>
    </row>
    <row r="11">
      <c r="A11" s="56" t="s">
        <v>140</v>
      </c>
      <c r="B11" s="57" t="s">
        <v>141</v>
      </c>
      <c r="C11" s="57" t="s">
        <v>142</v>
      </c>
      <c r="D11" s="57" t="s">
        <v>122</v>
      </c>
      <c r="E11" s="57" t="s">
        <v>143</v>
      </c>
      <c r="F11" s="57" t="s">
        <v>144</v>
      </c>
    </row>
    <row r="12">
      <c r="A12" s="56" t="s">
        <v>145</v>
      </c>
      <c r="B12" s="57" t="s">
        <v>146</v>
      </c>
      <c r="C12" s="57" t="s">
        <v>147</v>
      </c>
      <c r="D12" s="57" t="s">
        <v>122</v>
      </c>
      <c r="E12" s="57" t="s">
        <v>148</v>
      </c>
      <c r="F12" s="57" t="s">
        <v>149</v>
      </c>
    </row>
    <row r="13">
      <c r="A13" s="56" t="s">
        <v>150</v>
      </c>
      <c r="B13" s="57" t="s">
        <v>151</v>
      </c>
      <c r="C13" s="57" t="s">
        <v>152</v>
      </c>
      <c r="D13" s="57" t="s">
        <v>122</v>
      </c>
      <c r="E13" s="57" t="s">
        <v>153</v>
      </c>
      <c r="F13" s="57" t="s">
        <v>124</v>
      </c>
    </row>
    <row r="14">
      <c r="A14" s="56" t="s">
        <v>154</v>
      </c>
      <c r="B14" s="57" t="s">
        <v>155</v>
      </c>
      <c r="C14" s="57" t="s">
        <v>156</v>
      </c>
      <c r="D14" s="57" t="s">
        <v>122</v>
      </c>
      <c r="E14" s="57" t="s">
        <v>157</v>
      </c>
      <c r="F14" s="57" t="s">
        <v>158</v>
      </c>
    </row>
    <row r="15">
      <c r="A15" s="53"/>
      <c r="B15" s="53"/>
      <c r="C15" s="53"/>
      <c r="D15" s="53"/>
      <c r="E15" s="53"/>
      <c r="F15" s="53"/>
    </row>
    <row r="16" ht="24.0" customHeight="1">
      <c r="A16" s="55" t="s">
        <v>159</v>
      </c>
    </row>
    <row r="17">
      <c r="A17" s="57" t="s">
        <v>29</v>
      </c>
      <c r="B17" s="57" t="s">
        <v>160</v>
      </c>
      <c r="C17" s="57" t="s">
        <v>161</v>
      </c>
      <c r="D17" s="57" t="s">
        <v>162</v>
      </c>
      <c r="E17" s="57" t="s">
        <v>163</v>
      </c>
      <c r="F17" s="57" t="s">
        <v>164</v>
      </c>
    </row>
    <row r="18">
      <c r="A18" s="57" t="s">
        <v>165</v>
      </c>
      <c r="B18" s="57" t="s">
        <v>166</v>
      </c>
      <c r="C18" s="57" t="s">
        <v>167</v>
      </c>
      <c r="D18" s="57" t="s">
        <v>168</v>
      </c>
      <c r="E18" s="57" t="s">
        <v>169</v>
      </c>
      <c r="F18" s="57" t="s">
        <v>170</v>
      </c>
    </row>
    <row r="19">
      <c r="A19" s="53"/>
      <c r="B19" s="53"/>
      <c r="C19" s="53"/>
      <c r="D19" s="53"/>
      <c r="E19" s="53"/>
      <c r="F19" s="53"/>
    </row>
    <row r="20" ht="24.0" customHeight="1">
      <c r="A20" s="55" t="s">
        <v>171</v>
      </c>
    </row>
    <row r="21" ht="15.75" customHeight="1">
      <c r="A21" s="58" t="s">
        <v>172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F1"/>
    <mergeCell ref="A3:F4"/>
    <mergeCell ref="A6:F6"/>
    <mergeCell ref="A16:F16"/>
    <mergeCell ref="A20:F20"/>
    <mergeCell ref="A21:F24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0"/>
    <col customWidth="1" min="2" max="10" width="16.0"/>
    <col customWidth="1" min="11" max="26" width="8.63"/>
  </cols>
  <sheetData>
    <row r="1" ht="31.5" customHeight="1">
      <c r="A1" s="2" t="s">
        <v>173</v>
      </c>
    </row>
    <row r="2">
      <c r="A2" s="4"/>
      <c r="B2" s="4"/>
      <c r="C2" s="4"/>
      <c r="D2" s="4"/>
      <c r="E2" s="4"/>
      <c r="F2" s="4"/>
      <c r="G2" s="4"/>
      <c r="H2" s="4"/>
      <c r="I2" s="4"/>
      <c r="J2" s="4"/>
    </row>
    <row r="3" ht="27.75" customHeight="1">
      <c r="A3" s="59" t="s">
        <v>174</v>
      </c>
    </row>
    <row r="4">
      <c r="A4" s="4"/>
      <c r="B4" s="4"/>
      <c r="C4" s="4"/>
      <c r="D4" s="4"/>
      <c r="E4" s="4"/>
      <c r="F4" s="4"/>
      <c r="G4" s="4"/>
      <c r="H4" s="4"/>
      <c r="I4" s="4"/>
      <c r="J4" s="4"/>
    </row>
    <row r="5">
      <c r="A5" s="60" t="s">
        <v>175</v>
      </c>
      <c r="C5" s="4"/>
      <c r="D5" s="60" t="s">
        <v>176</v>
      </c>
      <c r="F5" s="4"/>
      <c r="G5" s="60" t="s">
        <v>177</v>
      </c>
      <c r="I5" s="60" t="s">
        <v>178</v>
      </c>
    </row>
    <row r="6">
      <c r="A6" s="61">
        <f>Inputs!$B$9</f>
        <v>75000</v>
      </c>
      <c r="C6" s="4"/>
      <c r="D6" s="61">
        <f>Forecast!$H$19</f>
        <v>281250</v>
      </c>
      <c r="F6" s="4"/>
      <c r="G6" s="61">
        <f>Forecast!$I$19</f>
        <v>126562.5</v>
      </c>
      <c r="I6" s="62">
        <f>Forecast!$M$19</f>
        <v>0.6875</v>
      </c>
    </row>
    <row r="7">
      <c r="C7" s="4"/>
      <c r="F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</row>
    <row r="9">
      <c r="A9" s="63" t="s">
        <v>179</v>
      </c>
      <c r="E9" s="4"/>
      <c r="F9" s="64" t="s">
        <v>180</v>
      </c>
    </row>
    <row r="10">
      <c r="A10" s="65" t="str">
        <f>IF(Forecast!$K$19=999,"Outside Year 1","Month "&amp;Forecast!$K$19)</f>
        <v>Month 9</v>
      </c>
      <c r="E10" s="4"/>
      <c r="F10" s="65" t="str">
        <f>IF(Forecast!$L$19=999,"Outside Year 1","Month "&amp;Forecast!$L$19)</f>
        <v>Month 7</v>
      </c>
    </row>
    <row r="11">
      <c r="E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4.0" customHeight="1">
      <c r="A13" s="19" t="s">
        <v>181</v>
      </c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5.5" customHeight="1">
      <c r="A15" s="63" t="s">
        <v>182</v>
      </c>
      <c r="B15" s="15" t="s">
        <v>183</v>
      </c>
    </row>
    <row r="16" ht="25.5" customHeight="1">
      <c r="A16" s="63" t="s">
        <v>184</v>
      </c>
      <c r="B16" s="15" t="s">
        <v>185</v>
      </c>
    </row>
    <row r="17" ht="25.5" customHeight="1">
      <c r="A17" s="66" t="s">
        <v>186</v>
      </c>
      <c r="B17" s="15" t="s">
        <v>187</v>
      </c>
    </row>
    <row r="18" ht="25.5" customHeight="1">
      <c r="A18" s="66" t="s">
        <v>188</v>
      </c>
      <c r="B18" s="15" t="s">
        <v>189</v>
      </c>
    </row>
    <row r="19" ht="25.5" customHeight="1">
      <c r="A19" s="66" t="s">
        <v>190</v>
      </c>
      <c r="B19" s="15" t="s">
        <v>191</v>
      </c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4.0" customHeight="1">
      <c r="A21" s="19" t="s">
        <v>192</v>
      </c>
    </row>
    <row r="2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7.75" customHeight="1">
      <c r="A23" s="67" t="s">
        <v>193</v>
      </c>
      <c r="B23" s="15" t="s">
        <v>194</v>
      </c>
    </row>
    <row r="24" ht="27.75" customHeight="1">
      <c r="A24" s="67" t="s">
        <v>195</v>
      </c>
      <c r="B24" s="15" t="s">
        <v>196</v>
      </c>
    </row>
    <row r="25" ht="27.75" customHeight="1">
      <c r="A25" s="67" t="s">
        <v>197</v>
      </c>
      <c r="B25" s="15" t="s">
        <v>198</v>
      </c>
    </row>
    <row r="26" ht="27.75" customHeight="1">
      <c r="A26" s="67" t="s">
        <v>199</v>
      </c>
      <c r="B26" s="15" t="s">
        <v>200</v>
      </c>
    </row>
    <row r="27" ht="27.75" customHeight="1">
      <c r="A27" s="67" t="s">
        <v>201</v>
      </c>
      <c r="B27" s="68" t="s">
        <v>202</v>
      </c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15.75" customHeight="1">
      <c r="A29" s="69" t="s">
        <v>203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A6:B7"/>
    <mergeCell ref="A9:D9"/>
    <mergeCell ref="A10:D11"/>
    <mergeCell ref="A1:J1"/>
    <mergeCell ref="A3:J3"/>
    <mergeCell ref="A5:B5"/>
    <mergeCell ref="D5:E5"/>
    <mergeCell ref="I5:J5"/>
    <mergeCell ref="D6:E7"/>
    <mergeCell ref="I6:J7"/>
    <mergeCell ref="G5:H5"/>
    <mergeCell ref="G6:H7"/>
    <mergeCell ref="F9:J9"/>
    <mergeCell ref="F10:J11"/>
    <mergeCell ref="A13:J13"/>
    <mergeCell ref="B15:J15"/>
    <mergeCell ref="B16:J16"/>
    <mergeCell ref="B26:J26"/>
    <mergeCell ref="B27:J27"/>
    <mergeCell ref="A29:J31"/>
    <mergeCell ref="B17:J17"/>
    <mergeCell ref="B18:J18"/>
    <mergeCell ref="B19:J19"/>
    <mergeCell ref="A21:J21"/>
    <mergeCell ref="B23:J23"/>
    <mergeCell ref="B24:J24"/>
    <mergeCell ref="B25:J25"/>
  </mergeCells>
  <printOptions/>
  <pageMargins bottom="0.75" footer="0.0" header="0.0" left="0.7" right="0.7" top="0.75"/>
  <pageSetup orientation="landscape"/>
  <drawing r:id="rId1"/>
</worksheet>
</file>